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h\OneDrive\psychoacoustics hires\repository\"/>
    </mc:Choice>
  </mc:AlternateContent>
  <bookViews>
    <workbookView xWindow="0" yWindow="0" windowWidth="28800" windowHeight="12435" tabRatio="709" firstSheet="8" activeTab="13"/>
  </bookViews>
  <sheets>
    <sheet name="Plenge1980" sheetId="21" r:id="rId1"/>
    <sheet name="Muraoka1981" sheetId="20" r:id="rId2"/>
    <sheet name="Oohashi1991" sheetId="7" r:id="rId3"/>
    <sheet name="Yoshikawa1995" sheetId="6" r:id="rId4"/>
    <sheet name="Theiss1997" sheetId="9" r:id="rId5"/>
    <sheet name="Nishiguchi2003" sheetId="11" r:id="rId6"/>
    <sheet name="hamasaki2004" sheetId="4" r:id="rId7"/>
    <sheet name="nishiguchi2005" sheetId="5" r:id="rId8"/>
    <sheet name="Repp2006" sheetId="25" r:id="rId9"/>
    <sheet name="Meyer2007" sheetId="19" r:id="rId10"/>
    <sheet name="Woszyck2007" sheetId="10" r:id="rId11"/>
    <sheet name="Pras2010" sheetId="16" r:id="rId12"/>
    <sheet name="King2012" sheetId="24" r:id="rId13"/>
    <sheet name="Jackson 2014" sheetId="26" r:id="rId14"/>
    <sheet name="Kanetada2015" sheetId="14" r:id="rId15"/>
    <sheet name="Capp 2016" sheetId="28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9" l="1"/>
  <c r="G6" i="9"/>
  <c r="F6" i="9"/>
  <c r="R2" i="28" l="1"/>
  <c r="T2" i="28"/>
  <c r="R3" i="28"/>
  <c r="T3" i="28" s="1"/>
  <c r="R4" i="28"/>
  <c r="T4" i="28" s="1"/>
  <c r="O5" i="28"/>
  <c r="R5" i="28"/>
  <c r="T5" i="28" s="1"/>
  <c r="S6" i="28"/>
  <c r="C7" i="28"/>
  <c r="D7" i="28"/>
  <c r="E7" i="28"/>
  <c r="F7" i="28"/>
  <c r="G7" i="28"/>
  <c r="H7" i="28"/>
  <c r="I7" i="28"/>
  <c r="J7" i="28"/>
  <c r="K7" i="28"/>
  <c r="L7" i="28"/>
  <c r="M7" i="28"/>
  <c r="N7" i="28"/>
  <c r="O9" i="28"/>
  <c r="C11" i="28"/>
  <c r="U3" i="28" s="1"/>
  <c r="D11" i="28"/>
  <c r="E11" i="28"/>
  <c r="F11" i="28"/>
  <c r="G11" i="28"/>
  <c r="H11" i="28"/>
  <c r="I11" i="28"/>
  <c r="J11" i="28"/>
  <c r="K11" i="28"/>
  <c r="L11" i="28"/>
  <c r="M11" i="28"/>
  <c r="N11" i="28"/>
  <c r="O13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O17" i="28"/>
  <c r="C19" i="28"/>
  <c r="D19" i="28"/>
  <c r="E19" i="28"/>
  <c r="F19" i="28"/>
  <c r="G19" i="28"/>
  <c r="H19" i="28"/>
  <c r="I19" i="28"/>
  <c r="J19" i="28"/>
  <c r="K19" i="28"/>
  <c r="L19" i="28"/>
  <c r="M19" i="28"/>
  <c r="N19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U6" i="28" l="1"/>
  <c r="U4" i="28"/>
  <c r="U2" i="28"/>
  <c r="U5" i="28"/>
  <c r="R6" i="28"/>
  <c r="T6" i="28" s="1"/>
  <c r="U7" i="28"/>
  <c r="F42" i="7" l="1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41" i="7"/>
  <c r="O22" i="11"/>
  <c r="D41" i="11"/>
  <c r="C41" i="11"/>
  <c r="D45" i="4"/>
  <c r="I9" i="21"/>
  <c r="F44" i="7"/>
  <c r="D44" i="7"/>
  <c r="E44" i="4" l="1"/>
  <c r="J41" i="11" l="1"/>
  <c r="O27" i="25" l="1"/>
  <c r="O26" i="25"/>
  <c r="O25" i="25"/>
  <c r="O24" i="25"/>
  <c r="K35" i="25"/>
  <c r="J35" i="25"/>
  <c r="I21" i="5"/>
  <c r="I20" i="5"/>
  <c r="I17" i="5"/>
  <c r="I14" i="5"/>
  <c r="I11" i="5"/>
  <c r="I8" i="5"/>
  <c r="I5" i="5"/>
  <c r="I2" i="5"/>
  <c r="H23" i="5"/>
  <c r="C8" i="5"/>
  <c r="B7" i="5"/>
  <c r="B6" i="5"/>
  <c r="B5" i="5"/>
  <c r="B4" i="5"/>
  <c r="B3" i="5"/>
  <c r="B2" i="5"/>
  <c r="N16" i="4"/>
  <c r="B41" i="11"/>
  <c r="D5" i="11"/>
  <c r="C39" i="11" l="1"/>
  <c r="M22" i="11"/>
  <c r="H9" i="11"/>
  <c r="N22" i="11"/>
  <c r="O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K17" i="4"/>
  <c r="K16" i="4"/>
  <c r="K15" i="4"/>
  <c r="K14" i="4"/>
  <c r="K13" i="4"/>
  <c r="J17" i="4"/>
  <c r="J16" i="4"/>
  <c r="J15" i="4"/>
  <c r="J14" i="4"/>
  <c r="J13" i="4"/>
  <c r="I17" i="4"/>
  <c r="I16" i="4"/>
  <c r="I15" i="4"/>
  <c r="I14" i="4"/>
  <c r="I13" i="4"/>
  <c r="K32" i="11"/>
  <c r="J40" i="11"/>
  <c r="J39" i="11"/>
  <c r="K38" i="11"/>
  <c r="K37" i="11"/>
  <c r="K36" i="11"/>
  <c r="K35" i="11"/>
  <c r="K34" i="11"/>
  <c r="K33" i="11"/>
  <c r="K31" i="11"/>
  <c r="K30" i="11"/>
  <c r="K29" i="11"/>
  <c r="K28" i="11"/>
  <c r="K27" i="11"/>
  <c r="I27" i="11"/>
  <c r="I37" i="11" s="1"/>
  <c r="K26" i="11"/>
  <c r="K25" i="11"/>
  <c r="K24" i="11"/>
  <c r="K23" i="11"/>
  <c r="I23" i="11"/>
  <c r="I33" i="11" s="1"/>
  <c r="K22" i="11"/>
  <c r="I22" i="11"/>
  <c r="I32" i="11" s="1"/>
  <c r="K21" i="11"/>
  <c r="I21" i="11"/>
  <c r="I31" i="11" s="1"/>
  <c r="K20" i="11"/>
  <c r="I20" i="11"/>
  <c r="I30" i="11" s="1"/>
  <c r="K19" i="11"/>
  <c r="I19" i="11"/>
  <c r="I29" i="11" s="1"/>
  <c r="K18" i="11"/>
  <c r="I18" i="11"/>
  <c r="I28" i="11" s="1"/>
  <c r="I38" i="11" s="1"/>
  <c r="K17" i="11"/>
  <c r="I17" i="11"/>
  <c r="K16" i="11"/>
  <c r="I16" i="11"/>
  <c r="I26" i="11" s="1"/>
  <c r="I36" i="11" s="1"/>
  <c r="K15" i="11"/>
  <c r="I15" i="11"/>
  <c r="I25" i="11" s="1"/>
  <c r="I35" i="11" s="1"/>
  <c r="K14" i="11"/>
  <c r="I14" i="11"/>
  <c r="I24" i="11" s="1"/>
  <c r="I34" i="11" s="1"/>
  <c r="K13" i="11"/>
  <c r="K12" i="11"/>
  <c r="K11" i="11"/>
  <c r="K10" i="11"/>
  <c r="K9" i="11"/>
  <c r="K8" i="11"/>
  <c r="K7" i="11"/>
  <c r="K6" i="11"/>
  <c r="K5" i="11"/>
  <c r="K4" i="11"/>
  <c r="K3" i="11"/>
  <c r="A30" i="11"/>
  <c r="A24" i="11"/>
  <c r="A34" i="11" s="1"/>
  <c r="A23" i="11"/>
  <c r="A33" i="11" s="1"/>
  <c r="A22" i="11"/>
  <c r="A32" i="11" s="1"/>
  <c r="A21" i="11"/>
  <c r="A31" i="11" s="1"/>
  <c r="A20" i="11"/>
  <c r="A19" i="11"/>
  <c r="A29" i="11" s="1"/>
  <c r="A18" i="11"/>
  <c r="A28" i="11" s="1"/>
  <c r="A38" i="11" s="1"/>
  <c r="A17" i="11"/>
  <c r="A27" i="11" s="1"/>
  <c r="A37" i="11" s="1"/>
  <c r="A16" i="11"/>
  <c r="A26" i="11" s="1"/>
  <c r="A36" i="11" s="1"/>
  <c r="A15" i="11"/>
  <c r="A25" i="11" s="1"/>
  <c r="A35" i="11" s="1"/>
  <c r="A14" i="11"/>
  <c r="K18" i="4" l="1"/>
  <c r="J18" i="4"/>
  <c r="P17" i="4"/>
  <c r="P16" i="4"/>
  <c r="K39" i="11"/>
  <c r="J19" i="4"/>
  <c r="I18" i="4"/>
  <c r="K40" i="11"/>
  <c r="L12" i="4"/>
  <c r="L38" i="25"/>
  <c r="L37" i="25"/>
  <c r="W37" i="25"/>
  <c r="W36" i="25"/>
  <c r="G133" i="25" l="1"/>
  <c r="AA23" i="7" l="1"/>
  <c r="AD22" i="7"/>
  <c r="AC22" i="7"/>
  <c r="AB22" i="7"/>
  <c r="AA22" i="7"/>
  <c r="U23" i="7" s="1"/>
  <c r="U24" i="7" s="1"/>
  <c r="T16" i="7"/>
  <c r="AB15" i="7"/>
  <c r="Z15" i="7"/>
  <c r="Y15" i="7"/>
  <c r="X15" i="7"/>
  <c r="W15" i="7"/>
  <c r="AC12" i="7"/>
  <c r="AA12" i="7"/>
  <c r="AA11" i="7"/>
  <c r="AC11" i="7" s="1"/>
  <c r="AC10" i="7"/>
  <c r="AA10" i="7"/>
  <c r="AC9" i="7"/>
  <c r="AA9" i="7"/>
  <c r="AC8" i="7"/>
  <c r="AA8" i="7"/>
  <c r="AA7" i="7"/>
  <c r="AC7" i="7" s="1"/>
  <c r="AC6" i="7"/>
  <c r="AA6" i="7"/>
  <c r="AC5" i="7"/>
  <c r="S16" i="7" s="1"/>
  <c r="AA5" i="7"/>
  <c r="AC4" i="7"/>
  <c r="AD15" i="7" s="1"/>
  <c r="AA4" i="7"/>
  <c r="AA15" i="7" s="1"/>
  <c r="AA3" i="7"/>
  <c r="W17" i="7" l="1"/>
  <c r="V23" i="7"/>
  <c r="V24" i="7" s="1"/>
  <c r="R15" i="7"/>
  <c r="U16" i="7"/>
  <c r="X17" i="7"/>
  <c r="W23" i="7"/>
  <c r="W24" i="7" s="1"/>
  <c r="AC3" i="7"/>
  <c r="S15" i="7"/>
  <c r="V16" i="7"/>
  <c r="Y17" i="7"/>
  <c r="X23" i="7"/>
  <c r="X24" i="7" s="1"/>
  <c r="Y23" i="7"/>
  <c r="Y24" i="7" s="1"/>
  <c r="T15" i="7"/>
  <c r="W16" i="7"/>
  <c r="R17" i="7"/>
  <c r="AB17" i="7" s="1"/>
  <c r="AD17" i="7" s="1"/>
  <c r="Z17" i="7"/>
  <c r="U15" i="7"/>
  <c r="AC15" i="7"/>
  <c r="X16" i="7"/>
  <c r="S17" i="7"/>
  <c r="R23" i="7"/>
  <c r="R24" i="7" s="1"/>
  <c r="Z23" i="7"/>
  <c r="Z24" i="7" s="1"/>
  <c r="V15" i="7"/>
  <c r="Y16" i="7"/>
  <c r="T17" i="7"/>
  <c r="S23" i="7"/>
  <c r="S24" i="7" s="1"/>
  <c r="R16" i="7"/>
  <c r="Z16" i="7"/>
  <c r="U17" i="7"/>
  <c r="T23" i="7"/>
  <c r="T24" i="7" s="1"/>
  <c r="V17" i="7"/>
  <c r="AA24" i="7" l="1"/>
  <c r="U14" i="7"/>
  <c r="T14" i="7"/>
  <c r="S14" i="7"/>
  <c r="V14" i="7"/>
  <c r="Z14" i="7"/>
  <c r="R14" i="7"/>
  <c r="Y14" i="7"/>
  <c r="X14" i="7"/>
  <c r="W14" i="7"/>
  <c r="AA16" i="7"/>
  <c r="AC16" i="7" s="1"/>
  <c r="AB16" i="7"/>
  <c r="AD16" i="7" s="1"/>
  <c r="AA17" i="7"/>
  <c r="AC17" i="7" s="1"/>
  <c r="D133" i="25"/>
  <c r="C133" i="25"/>
  <c r="H131" i="25"/>
  <c r="D131" i="25"/>
  <c r="C131" i="25"/>
  <c r="F130" i="25"/>
  <c r="E130" i="25"/>
  <c r="E129" i="25"/>
  <c r="E128" i="25"/>
  <c r="F127" i="25"/>
  <c r="E127" i="25"/>
  <c r="F126" i="25"/>
  <c r="E126" i="25"/>
  <c r="F125" i="25"/>
  <c r="E125" i="25"/>
  <c r="F124" i="25"/>
  <c r="E124" i="25"/>
  <c r="F123" i="25"/>
  <c r="E123" i="25"/>
  <c r="F122" i="25"/>
  <c r="E122" i="25"/>
  <c r="F121" i="25"/>
  <c r="E121" i="25"/>
  <c r="F120" i="25"/>
  <c r="E120" i="25"/>
  <c r="F119" i="25"/>
  <c r="E119" i="25"/>
  <c r="F118" i="25"/>
  <c r="E118" i="25"/>
  <c r="F117" i="25"/>
  <c r="E117" i="25"/>
  <c r="F116" i="25"/>
  <c r="E116" i="25"/>
  <c r="F115" i="25"/>
  <c r="E115" i="25"/>
  <c r="E114" i="25"/>
  <c r="F113" i="25"/>
  <c r="E113" i="25"/>
  <c r="F112" i="25"/>
  <c r="E112" i="25"/>
  <c r="F111" i="25"/>
  <c r="E111" i="25"/>
  <c r="F110" i="25"/>
  <c r="E110" i="25"/>
  <c r="E109" i="25"/>
  <c r="F108" i="25"/>
  <c r="E108" i="25"/>
  <c r="E107" i="25"/>
  <c r="F106" i="25"/>
  <c r="E106" i="25"/>
  <c r="F105" i="25"/>
  <c r="E105" i="25"/>
  <c r="F104" i="25"/>
  <c r="E104" i="25"/>
  <c r="F103" i="25"/>
  <c r="E103" i="25"/>
  <c r="E102" i="25"/>
  <c r="F101" i="25"/>
  <c r="E101" i="25"/>
  <c r="E100" i="25"/>
  <c r="F99" i="25"/>
  <c r="E99" i="25"/>
  <c r="F98" i="25"/>
  <c r="E98" i="25"/>
  <c r="E97" i="25"/>
  <c r="E96" i="25"/>
  <c r="F95" i="25"/>
  <c r="E95" i="25"/>
  <c r="F94" i="25"/>
  <c r="E94" i="25"/>
  <c r="F93" i="25"/>
  <c r="E93" i="25"/>
  <c r="F92" i="25"/>
  <c r="E92" i="25"/>
  <c r="E91" i="25"/>
  <c r="E90" i="25"/>
  <c r="E89" i="25"/>
  <c r="F88" i="25"/>
  <c r="E88" i="25"/>
  <c r="F87" i="25"/>
  <c r="E87" i="25"/>
  <c r="F86" i="25"/>
  <c r="E86" i="25"/>
  <c r="E85" i="25"/>
  <c r="F84" i="25"/>
  <c r="E84" i="25"/>
  <c r="F83" i="25"/>
  <c r="E83" i="25"/>
  <c r="E82" i="25"/>
  <c r="E81" i="25"/>
  <c r="F80" i="25"/>
  <c r="E80" i="25"/>
  <c r="F79" i="25"/>
  <c r="E79" i="25"/>
  <c r="F78" i="25"/>
  <c r="E78" i="25"/>
  <c r="F77" i="25"/>
  <c r="E77" i="25"/>
  <c r="F76" i="25"/>
  <c r="E76" i="25"/>
  <c r="F75" i="25"/>
  <c r="E75" i="25"/>
  <c r="E74" i="25"/>
  <c r="E73" i="25"/>
  <c r="F72" i="25"/>
  <c r="E72" i="25"/>
  <c r="F71" i="25"/>
  <c r="E71" i="25"/>
  <c r="E70" i="25"/>
  <c r="F69" i="25"/>
  <c r="E69" i="25"/>
  <c r="F68" i="25"/>
  <c r="E68" i="25"/>
  <c r="F67" i="25"/>
  <c r="E67" i="25"/>
  <c r="F66" i="25"/>
  <c r="E66" i="25"/>
  <c r="E65" i="25"/>
  <c r="E64" i="25"/>
  <c r="F63" i="25"/>
  <c r="E63" i="25"/>
  <c r="F62" i="25"/>
  <c r="E62" i="25"/>
  <c r="F61" i="25"/>
  <c r="E61" i="25"/>
  <c r="F60" i="25"/>
  <c r="E60" i="25"/>
  <c r="F59" i="25"/>
  <c r="E59" i="25"/>
  <c r="F58" i="25"/>
  <c r="E58" i="25"/>
  <c r="E57" i="25"/>
  <c r="F56" i="25"/>
  <c r="E56" i="25"/>
  <c r="F55" i="25"/>
  <c r="E55" i="25"/>
  <c r="E54" i="25"/>
  <c r="E53" i="25"/>
  <c r="F52" i="25"/>
  <c r="E52" i="25"/>
  <c r="F51" i="25"/>
  <c r="E51" i="25"/>
  <c r="F50" i="25"/>
  <c r="E50" i="25"/>
  <c r="E49" i="25"/>
  <c r="E48" i="25"/>
  <c r="F47" i="25"/>
  <c r="E47" i="25"/>
  <c r="F46" i="25"/>
  <c r="E46" i="25"/>
  <c r="F45" i="25"/>
  <c r="E45" i="25"/>
  <c r="F44" i="25"/>
  <c r="E44" i="25"/>
  <c r="F43" i="25"/>
  <c r="E43" i="25"/>
  <c r="F42" i="25"/>
  <c r="E42" i="25"/>
  <c r="F41" i="25"/>
  <c r="E41" i="25"/>
  <c r="F40" i="25"/>
  <c r="E40" i="25"/>
  <c r="F39" i="25"/>
  <c r="E39" i="25"/>
  <c r="E38" i="25"/>
  <c r="F37" i="25"/>
  <c r="E37" i="25"/>
  <c r="F36" i="25"/>
  <c r="E36" i="25"/>
  <c r="E35" i="25"/>
  <c r="E34" i="25"/>
  <c r="E33" i="25"/>
  <c r="E32" i="25"/>
  <c r="F31" i="25"/>
  <c r="E31" i="25"/>
  <c r="E30" i="25"/>
  <c r="E29" i="25"/>
  <c r="E28" i="25"/>
  <c r="F27" i="25"/>
  <c r="E27" i="25"/>
  <c r="F26" i="25"/>
  <c r="E26" i="25"/>
  <c r="F25" i="25"/>
  <c r="E25" i="25"/>
  <c r="F24" i="25"/>
  <c r="E24" i="25"/>
  <c r="F23" i="25"/>
  <c r="E23" i="25"/>
  <c r="F22" i="25"/>
  <c r="E22" i="25"/>
  <c r="E21" i="25"/>
  <c r="E20" i="25"/>
  <c r="O19" i="25"/>
  <c r="F19" i="25"/>
  <c r="E19" i="25"/>
  <c r="P18" i="25"/>
  <c r="E18" i="25"/>
  <c r="P17" i="25"/>
  <c r="E17" i="25"/>
  <c r="P16" i="25"/>
  <c r="E16" i="25"/>
  <c r="P15" i="25"/>
  <c r="F15" i="25"/>
  <c r="E15" i="25"/>
  <c r="P14" i="25"/>
  <c r="F14" i="25"/>
  <c r="E14" i="25"/>
  <c r="P13" i="25"/>
  <c r="F13" i="25"/>
  <c r="E13" i="25"/>
  <c r="P12" i="25"/>
  <c r="E12" i="25"/>
  <c r="P11" i="25"/>
  <c r="F11" i="25"/>
  <c r="E11" i="25"/>
  <c r="P10" i="25"/>
  <c r="F10" i="25"/>
  <c r="E10" i="25"/>
  <c r="P9" i="25"/>
  <c r="E9" i="25"/>
  <c r="P8" i="25"/>
  <c r="F8" i="25"/>
  <c r="E8" i="25"/>
  <c r="P7" i="25"/>
  <c r="F7" i="25"/>
  <c r="E7" i="25"/>
  <c r="P6" i="25"/>
  <c r="E6" i="25"/>
  <c r="P5" i="25"/>
  <c r="E5" i="25"/>
  <c r="P4" i="25"/>
  <c r="F4" i="25"/>
  <c r="E4" i="25"/>
  <c r="P3" i="25"/>
  <c r="F3" i="25"/>
  <c r="F132" i="25" s="1"/>
  <c r="E3" i="25"/>
  <c r="Q18" i="25" l="1"/>
  <c r="F131" i="25"/>
  <c r="F133" i="25"/>
  <c r="Q8" i="25"/>
  <c r="E133" i="25"/>
  <c r="AB14" i="7"/>
  <c r="AD14" i="7" s="1"/>
  <c r="AA14" i="7"/>
  <c r="AC14" i="7" s="1"/>
  <c r="E131" i="25"/>
  <c r="P19" i="25"/>
  <c r="J14" i="19"/>
  <c r="K7" i="6"/>
  <c r="F64" i="6"/>
  <c r="G64" i="6"/>
  <c r="F63" i="6"/>
  <c r="G63" i="6"/>
  <c r="F62" i="6"/>
  <c r="G62" i="6"/>
  <c r="F61" i="6"/>
  <c r="G61" i="6"/>
  <c r="F60" i="6"/>
  <c r="G60" i="6"/>
  <c r="F59" i="6"/>
  <c r="G59" i="6"/>
  <c r="F58" i="6"/>
  <c r="G58" i="6"/>
  <c r="C65" i="6"/>
  <c r="F56" i="6"/>
  <c r="G56" i="6"/>
  <c r="F55" i="6"/>
  <c r="G55" i="6"/>
  <c r="F54" i="6"/>
  <c r="G54" i="6"/>
  <c r="F47" i="6"/>
  <c r="G47" i="6"/>
  <c r="F46" i="6"/>
  <c r="G46" i="6"/>
  <c r="F45" i="6"/>
  <c r="G45" i="6"/>
  <c r="F44" i="6"/>
  <c r="G44" i="6"/>
  <c r="F43" i="6"/>
  <c r="G43" i="6"/>
  <c r="E48" i="6"/>
  <c r="F41" i="6"/>
  <c r="G41" i="6"/>
  <c r="C48" i="6"/>
  <c r="F39" i="6"/>
  <c r="G39" i="6"/>
  <c r="G38" i="6"/>
  <c r="F38" i="6"/>
  <c r="G37" i="6"/>
  <c r="F37" i="6"/>
  <c r="G186" i="24"/>
  <c r="F186" i="24"/>
  <c r="I186" i="24"/>
  <c r="K27" i="24"/>
  <c r="J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4" i="24"/>
  <c r="L27" i="24"/>
  <c r="L3" i="24"/>
  <c r="L28" i="24"/>
  <c r="L29" i="24"/>
  <c r="C9" i="21"/>
  <c r="D4" i="14"/>
  <c r="C4" i="14"/>
  <c r="B4" i="14"/>
  <c r="C45" i="14"/>
  <c r="D45" i="14"/>
  <c r="D48" i="14"/>
  <c r="C48" i="14"/>
  <c r="D47" i="14"/>
  <c r="C47" i="14"/>
  <c r="B47" i="14"/>
  <c r="B49" i="14"/>
  <c r="B48" i="14"/>
  <c r="B45" i="14"/>
  <c r="V18" i="6"/>
  <c r="F57" i="6"/>
  <c r="G57" i="6"/>
  <c r="G65" i="6"/>
  <c r="E65" i="6"/>
  <c r="F42" i="6"/>
  <c r="G42" i="6"/>
  <c r="G48" i="6"/>
  <c r="F40" i="6"/>
  <c r="G40" i="6"/>
  <c r="G30" i="6"/>
  <c r="G29" i="6"/>
  <c r="F30" i="6"/>
  <c r="F29" i="6"/>
  <c r="F27" i="6"/>
  <c r="G27" i="6"/>
  <c r="F26" i="6"/>
  <c r="G26" i="6"/>
  <c r="F22" i="6"/>
  <c r="G22" i="6"/>
  <c r="F21" i="6"/>
  <c r="G21" i="6"/>
  <c r="F20" i="6"/>
  <c r="G20" i="6"/>
  <c r="E25" i="6"/>
  <c r="F25" i="6"/>
  <c r="G25" i="6"/>
  <c r="E28" i="6"/>
  <c r="F28" i="6"/>
  <c r="G28" i="6"/>
  <c r="E24" i="6"/>
  <c r="F24" i="6"/>
  <c r="G24" i="6"/>
  <c r="C30" i="6"/>
  <c r="C23" i="6"/>
  <c r="C31" i="6"/>
  <c r="T15" i="6"/>
  <c r="S14" i="6"/>
  <c r="I14" i="6"/>
  <c r="F23" i="6"/>
  <c r="G23" i="6"/>
  <c r="E31" i="6"/>
  <c r="G66" i="6"/>
  <c r="G67" i="6"/>
  <c r="G49" i="6"/>
  <c r="G50" i="6"/>
  <c r="G31" i="6"/>
  <c r="G32" i="6"/>
  <c r="G33" i="6"/>
  <c r="T13" i="19"/>
  <c r="S13" i="19"/>
  <c r="S12" i="19"/>
  <c r="T12" i="19"/>
  <c r="S11" i="19"/>
  <c r="T11" i="19"/>
  <c r="T10" i="19"/>
  <c r="S10" i="19"/>
  <c r="T9" i="19"/>
  <c r="S9" i="19"/>
  <c r="T8" i="19"/>
  <c r="S8" i="19"/>
  <c r="S7" i="19"/>
  <c r="T7" i="19"/>
  <c r="T6" i="19"/>
  <c r="S6" i="19"/>
  <c r="T5" i="19"/>
  <c r="S5" i="19"/>
  <c r="Q13" i="19"/>
  <c r="Q12" i="19"/>
  <c r="O14" i="19"/>
  <c r="Q10" i="19"/>
  <c r="Q9" i="19"/>
  <c r="Q8" i="19"/>
  <c r="Q7" i="19"/>
  <c r="Q6" i="19"/>
  <c r="Q5" i="19"/>
  <c r="E1" i="19"/>
  <c r="D1" i="19"/>
  <c r="D12" i="10"/>
  <c r="B12" i="10"/>
  <c r="V14" i="6"/>
  <c r="V13" i="6"/>
  <c r="V12" i="6"/>
  <c r="V11" i="6"/>
  <c r="V10" i="6"/>
  <c r="V9" i="6"/>
  <c r="V8" i="6"/>
  <c r="V7" i="6"/>
  <c r="V6" i="6"/>
  <c r="V5" i="6"/>
  <c r="V4" i="6"/>
  <c r="J15" i="6"/>
  <c r="U14" i="6"/>
  <c r="S12" i="6"/>
  <c r="U12" i="6"/>
  <c r="S13" i="6"/>
  <c r="U13" i="6"/>
  <c r="I6" i="6"/>
  <c r="K6" i="6"/>
  <c r="S10" i="6"/>
  <c r="S11" i="6"/>
  <c r="U11" i="6"/>
  <c r="S5" i="6"/>
  <c r="U5" i="6"/>
  <c r="S7" i="6"/>
  <c r="U7" i="6"/>
  <c r="I12" i="6"/>
  <c r="K12" i="6"/>
  <c r="I10" i="6"/>
  <c r="K10" i="6"/>
  <c r="I13" i="6"/>
  <c r="K13" i="6"/>
  <c r="I4" i="6"/>
  <c r="K4" i="6"/>
  <c r="I11" i="6"/>
  <c r="K11" i="6"/>
  <c r="I9" i="6"/>
  <c r="K9" i="6"/>
  <c r="K14" i="6"/>
  <c r="S9" i="6"/>
  <c r="U9" i="6"/>
  <c r="S8" i="6"/>
  <c r="U8" i="6"/>
  <c r="I7" i="6"/>
  <c r="I8" i="6"/>
  <c r="I5" i="6"/>
  <c r="K5" i="6"/>
  <c r="V16" i="6"/>
  <c r="V17" i="6"/>
  <c r="T14" i="19"/>
  <c r="U14" i="19"/>
  <c r="V14" i="19"/>
  <c r="Q11" i="19"/>
  <c r="Q14" i="19"/>
  <c r="V15" i="6"/>
  <c r="G8" i="11"/>
  <c r="G7" i="11"/>
  <c r="G6" i="11"/>
  <c r="G5" i="11"/>
  <c r="G4" i="11"/>
  <c r="G3" i="11"/>
  <c r="H9" i="21"/>
  <c r="G7" i="21"/>
  <c r="G6" i="21"/>
  <c r="G5" i="21"/>
  <c r="F7" i="21"/>
  <c r="F6" i="21"/>
  <c r="F9" i="21"/>
  <c r="F5" i="21"/>
  <c r="G9" i="21"/>
  <c r="D22" i="5"/>
  <c r="B22" i="5"/>
  <c r="B45" i="4"/>
  <c r="O6" i="11"/>
  <c r="O5" i="11"/>
  <c r="O4" i="11"/>
  <c r="O3" i="11"/>
  <c r="O2" i="11"/>
  <c r="O11" i="11"/>
  <c r="O10" i="11"/>
  <c r="O9" i="11"/>
  <c r="O8" i="11"/>
  <c r="O7" i="11"/>
  <c r="O16" i="11"/>
  <c r="O15" i="11"/>
  <c r="O14" i="11"/>
  <c r="O13" i="11"/>
  <c r="O12" i="11"/>
  <c r="O17" i="11"/>
  <c r="O18" i="11"/>
  <c r="O19" i="11"/>
  <c r="O20" i="11"/>
  <c r="O21" i="11"/>
  <c r="B44" i="7"/>
  <c r="C58" i="20"/>
  <c r="B58" i="20"/>
  <c r="D32" i="11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I12" i="20"/>
  <c r="J11" i="20"/>
  <c r="J10" i="20"/>
  <c r="J9" i="20"/>
  <c r="J8" i="20"/>
  <c r="J7" i="20"/>
  <c r="J6" i="20"/>
  <c r="J5" i="20"/>
  <c r="J4" i="20"/>
  <c r="J3" i="20"/>
  <c r="J2" i="20"/>
  <c r="E3" i="20"/>
  <c r="E2" i="20"/>
  <c r="D2" i="20"/>
  <c r="D3" i="20"/>
  <c r="D4" i="20"/>
  <c r="D55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C55" i="20"/>
  <c r="C56" i="20"/>
  <c r="D56" i="20"/>
  <c r="D57" i="20"/>
  <c r="J12" i="20"/>
  <c r="G13" i="19"/>
  <c r="H13" i="19"/>
  <c r="E13" i="19"/>
  <c r="G12" i="19"/>
  <c r="H12" i="19"/>
  <c r="E12" i="19"/>
  <c r="G11" i="19"/>
  <c r="C11" i="19"/>
  <c r="E11" i="19"/>
  <c r="G10" i="19"/>
  <c r="H10" i="19"/>
  <c r="E10" i="19"/>
  <c r="G9" i="19"/>
  <c r="H9" i="19"/>
  <c r="E9" i="19"/>
  <c r="G8" i="19"/>
  <c r="H8" i="19"/>
  <c r="E8" i="19"/>
  <c r="G7" i="19"/>
  <c r="H7" i="19"/>
  <c r="E7" i="19"/>
  <c r="G6" i="19"/>
  <c r="H6" i="19"/>
  <c r="E6" i="19"/>
  <c r="G5" i="19"/>
  <c r="H5" i="19"/>
  <c r="E5" i="19"/>
  <c r="C14" i="19"/>
  <c r="E14" i="19"/>
  <c r="H11" i="19"/>
  <c r="H14" i="19"/>
  <c r="I14" i="19"/>
  <c r="H17" i="5"/>
  <c r="H14" i="5"/>
  <c r="H11" i="5"/>
  <c r="H8" i="5"/>
  <c r="H5" i="5"/>
  <c r="H2" i="5"/>
  <c r="N4" i="5"/>
  <c r="M4" i="5"/>
  <c r="N3" i="5"/>
  <c r="M3" i="5"/>
  <c r="N2" i="5"/>
  <c r="M2" i="5"/>
  <c r="D20" i="5"/>
  <c r="B20" i="5"/>
  <c r="F19" i="5"/>
  <c r="G19" i="5"/>
  <c r="F18" i="5"/>
  <c r="G18" i="5"/>
  <c r="F17" i="5"/>
  <c r="G17" i="5"/>
  <c r="F16" i="5"/>
  <c r="G16" i="5"/>
  <c r="F15" i="5"/>
  <c r="G15" i="5"/>
  <c r="F14" i="5"/>
  <c r="G14" i="5"/>
  <c r="F13" i="5"/>
  <c r="G13" i="5"/>
  <c r="F12" i="5"/>
  <c r="G12" i="5"/>
  <c r="F11" i="5"/>
  <c r="G11" i="5"/>
  <c r="F10" i="5"/>
  <c r="G10" i="5"/>
  <c r="F9" i="5"/>
  <c r="G9" i="5"/>
  <c r="F8" i="5"/>
  <c r="G8" i="5"/>
  <c r="F7" i="5"/>
  <c r="G7" i="5" s="1"/>
  <c r="F6" i="5"/>
  <c r="G6" i="5"/>
  <c r="F5" i="5"/>
  <c r="G5" i="5"/>
  <c r="F4" i="5"/>
  <c r="F20" i="5" s="1"/>
  <c r="F3" i="5"/>
  <c r="G3" i="5" s="1"/>
  <c r="F2" i="5"/>
  <c r="G2" i="5" s="1"/>
  <c r="C39" i="4"/>
  <c r="C36" i="4"/>
  <c r="C33" i="4"/>
  <c r="C30" i="4"/>
  <c r="C27" i="4"/>
  <c r="C24" i="4"/>
  <c r="C21" i="4"/>
  <c r="C18" i="4"/>
  <c r="C15" i="4"/>
  <c r="C12" i="4"/>
  <c r="C9" i="4"/>
  <c r="C6" i="4"/>
  <c r="C3" i="4"/>
  <c r="D5" i="9"/>
  <c r="K9" i="4"/>
  <c r="J9" i="4"/>
  <c r="I9" i="4"/>
  <c r="L8" i="4"/>
  <c r="L7" i="4"/>
  <c r="L6" i="4"/>
  <c r="L5" i="4"/>
  <c r="L4" i="4"/>
  <c r="E5" i="16"/>
  <c r="D5" i="16"/>
  <c r="B5" i="16"/>
  <c r="D4" i="16"/>
  <c r="D3" i="16"/>
  <c r="F9" i="11"/>
  <c r="D43" i="14"/>
  <c r="C43" i="14"/>
  <c r="B43" i="14"/>
  <c r="F28" i="4"/>
  <c r="G39" i="4"/>
  <c r="G36" i="4"/>
  <c r="G33" i="4"/>
  <c r="G30" i="4"/>
  <c r="G27" i="4"/>
  <c r="G24" i="4"/>
  <c r="G21" i="4"/>
  <c r="G18" i="4"/>
  <c r="G15" i="4"/>
  <c r="G12" i="4"/>
  <c r="G9" i="4"/>
  <c r="G6" i="4"/>
  <c r="G3" i="4"/>
  <c r="F5" i="4"/>
  <c r="F4" i="4"/>
  <c r="F3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6" i="4"/>
  <c r="F7" i="4"/>
  <c r="F8" i="4"/>
  <c r="F9" i="4"/>
  <c r="F10" i="4"/>
  <c r="D29" i="5"/>
  <c r="D47" i="11"/>
  <c r="B40" i="11"/>
  <c r="B39" i="11"/>
  <c r="D38" i="11"/>
  <c r="D37" i="11"/>
  <c r="D36" i="11"/>
  <c r="D35" i="11"/>
  <c r="D34" i="11"/>
  <c r="D33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4" i="11"/>
  <c r="D3" i="11"/>
  <c r="D30" i="5"/>
  <c r="K50" i="7"/>
  <c r="J43" i="7"/>
  <c r="J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I51" i="7"/>
  <c r="I52" i="7"/>
  <c r="I53" i="7"/>
  <c r="I50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" i="7"/>
  <c r="H43" i="7"/>
  <c r="H42" i="7"/>
  <c r="M8" i="7"/>
  <c r="L8" i="7"/>
  <c r="K43" i="7"/>
  <c r="K51" i="7"/>
  <c r="K42" i="7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F15" i="10"/>
  <c r="E15" i="10"/>
  <c r="D15" i="10"/>
  <c r="C15" i="10"/>
  <c r="B15" i="10"/>
  <c r="G50" i="7"/>
  <c r="E50" i="7"/>
  <c r="C50" i="7"/>
  <c r="G11" i="7"/>
  <c r="G10" i="7"/>
  <c r="G9" i="7"/>
  <c r="G8" i="7"/>
  <c r="G7" i="7"/>
  <c r="G6" i="7"/>
  <c r="G5" i="7"/>
  <c r="G4" i="7"/>
  <c r="G3" i="7"/>
  <c r="G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B43" i="7"/>
  <c r="D42" i="7"/>
  <c r="E14" i="10"/>
  <c r="C14" i="10"/>
  <c r="C13" i="10"/>
  <c r="E13" i="10"/>
  <c r="E11" i="10"/>
  <c r="E10" i="10"/>
  <c r="E9" i="10"/>
  <c r="E7" i="10"/>
  <c r="E6" i="10"/>
  <c r="E5" i="10"/>
  <c r="C11" i="10"/>
  <c r="C10" i="10"/>
  <c r="C9" i="10"/>
  <c r="C8" i="10"/>
  <c r="C7" i="10"/>
  <c r="C6" i="10"/>
  <c r="C5" i="10"/>
  <c r="E4" i="10"/>
  <c r="E3" i="10"/>
  <c r="E2" i="10"/>
  <c r="C4" i="10"/>
  <c r="C3" i="10"/>
  <c r="C2" i="10"/>
  <c r="B14" i="10"/>
  <c r="D14" i="10"/>
  <c r="D13" i="10"/>
  <c r="B13" i="10"/>
  <c r="F11" i="10"/>
  <c r="F10" i="10"/>
  <c r="F9" i="10"/>
  <c r="F7" i="10"/>
  <c r="F6" i="10"/>
  <c r="F5" i="10"/>
  <c r="F4" i="10"/>
  <c r="F3" i="10"/>
  <c r="F2" i="10"/>
  <c r="F14" i="10"/>
  <c r="E27" i="4"/>
  <c r="K52" i="7"/>
  <c r="K53" i="7"/>
  <c r="E43" i="7"/>
  <c r="E51" i="7"/>
  <c r="E42" i="7"/>
  <c r="F13" i="10"/>
  <c r="D6" i="9"/>
  <c r="C5" i="9"/>
  <c r="B5" i="9"/>
  <c r="D4" i="9"/>
  <c r="D3" i="9"/>
  <c r="D2" i="9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B42" i="7"/>
  <c r="C20" i="5"/>
  <c r="E20" i="5"/>
  <c r="B42" i="4"/>
  <c r="D7" i="9"/>
  <c r="D8" i="9"/>
  <c r="E52" i="7"/>
  <c r="E53" i="7"/>
  <c r="C43" i="7"/>
  <c r="C51" i="7"/>
  <c r="C42" i="7"/>
  <c r="C52" i="7"/>
  <c r="C53" i="7"/>
  <c r="G43" i="7" l="1"/>
  <c r="G51" i="7" s="1"/>
  <c r="G42" i="7"/>
  <c r="L9" i="4"/>
  <c r="E24" i="4"/>
  <c r="D31" i="5"/>
  <c r="D32" i="5" s="1"/>
  <c r="O3" i="5"/>
  <c r="H22" i="5"/>
  <c r="G4" i="5"/>
  <c r="O4" i="5" s="1"/>
  <c r="O2" i="5"/>
  <c r="F22" i="5"/>
  <c r="D40" i="11"/>
  <c r="D48" i="11" s="1"/>
  <c r="G9" i="11"/>
  <c r="E33" i="4"/>
  <c r="E21" i="4"/>
  <c r="E39" i="4"/>
  <c r="E9" i="4"/>
  <c r="E30" i="4"/>
  <c r="E15" i="4"/>
  <c r="E12" i="4"/>
  <c r="E6" i="4"/>
  <c r="C45" i="4"/>
  <c r="D42" i="4"/>
  <c r="E18" i="4"/>
  <c r="E36" i="4"/>
  <c r="E3" i="4"/>
  <c r="L10" i="4"/>
  <c r="L11" i="4" s="1"/>
  <c r="D39" i="11"/>
  <c r="D49" i="11" s="1"/>
  <c r="D50" i="11" s="1"/>
  <c r="G52" i="7" l="1"/>
  <c r="G53" i="7" s="1"/>
  <c r="E43" i="4"/>
  <c r="G20" i="5"/>
  <c r="E42" i="4"/>
</calcChain>
</file>

<file path=xl/sharedStrings.xml><?xml version="1.0" encoding="utf-8"?>
<sst xmlns="http://schemas.openxmlformats.org/spreadsheetml/2006/main" count="685" uniqueCount="214">
  <si>
    <t>Total</t>
  </si>
  <si>
    <t>48/DSD</t>
  </si>
  <si>
    <t>48/192</t>
  </si>
  <si>
    <t>p value</t>
  </si>
  <si>
    <t>df</t>
  </si>
  <si>
    <t>tails</t>
  </si>
  <si>
    <t>alpha</t>
  </si>
  <si>
    <t>hyp mean</t>
  </si>
  <si>
    <t>std err</t>
  </si>
  <si>
    <t>std dev</t>
  </si>
  <si>
    <t>mean</t>
  </si>
  <si>
    <t>count</t>
  </si>
  <si>
    <t>Std Dev</t>
  </si>
  <si>
    <t>y</t>
  </si>
  <si>
    <t>x</t>
  </si>
  <si>
    <t>correct percent</t>
  </si>
  <si>
    <t>x and y</t>
  </si>
  <si>
    <t>soft/hard</t>
  </si>
  <si>
    <t>tcrit</t>
  </si>
  <si>
    <t>t2</t>
  </si>
  <si>
    <t>t1</t>
  </si>
  <si>
    <t>stddev2</t>
  </si>
  <si>
    <t>stddev</t>
  </si>
  <si>
    <t>Average</t>
  </si>
  <si>
    <t>Participants</t>
  </si>
  <si>
    <t>q</t>
  </si>
  <si>
    <t>Mean</t>
  </si>
  <si>
    <t>Correct</t>
  </si>
  <si>
    <t>Trials</t>
  </si>
  <si>
    <t>correct ratio</t>
  </si>
  <si>
    <t>Subject</t>
  </si>
  <si>
    <t>condition 1</t>
  </si>
  <si>
    <t>condition 2</t>
  </si>
  <si>
    <t>average</t>
  </si>
  <si>
    <t>combined</t>
  </si>
  <si>
    <t>stdev</t>
  </si>
  <si>
    <t>ratio1</t>
  </si>
  <si>
    <t>ratio2</t>
  </si>
  <si>
    <t>Std dev</t>
  </si>
  <si>
    <t>t</t>
  </si>
  <si>
    <t>p</t>
  </si>
  <si>
    <t>correct</t>
  </si>
  <si>
    <t>rate</t>
  </si>
  <si>
    <t>by subject</t>
  </si>
  <si>
    <t>avg</t>
  </si>
  <si>
    <t>stderr</t>
  </si>
  <si>
    <t>y1</t>
  </si>
  <si>
    <t>total</t>
  </si>
  <si>
    <t>p value by subject</t>
  </si>
  <si>
    <t>Kanetada 2013</t>
  </si>
  <si>
    <t>Kanetada 2013B</t>
  </si>
  <si>
    <t>Mizumachi 2015</t>
  </si>
  <si>
    <t>EXPERIMENT A</t>
  </si>
  <si>
    <t>EXPERIMENT B</t>
  </si>
  <si>
    <t>approx correct</t>
  </si>
  <si>
    <t>average 13 and 3 participants</t>
  </si>
  <si>
    <t>number questions</t>
  </si>
  <si>
    <t>percent correct</t>
  </si>
  <si>
    <t>number correct</t>
  </si>
  <si>
    <t>participant</t>
  </si>
  <si>
    <t>stimuli</t>
  </si>
  <si>
    <t>a</t>
  </si>
  <si>
    <t>b</t>
  </si>
  <si>
    <t>c</t>
  </si>
  <si>
    <t>d</t>
  </si>
  <si>
    <t>e</t>
  </si>
  <si>
    <t>p values</t>
  </si>
  <si>
    <t>inf</t>
  </si>
  <si>
    <t>correct by subject</t>
  </si>
  <si>
    <t xml:space="preserve"> </t>
  </si>
  <si>
    <t>By track</t>
  </si>
  <si>
    <t>A</t>
  </si>
  <si>
    <t>B</t>
  </si>
  <si>
    <t>C</t>
  </si>
  <si>
    <t>histogram</t>
  </si>
  <si>
    <t>number</t>
  </si>
  <si>
    <t>ratio correct</t>
  </si>
  <si>
    <t># x ratio</t>
  </si>
  <si>
    <t>x-avgx</t>
  </si>
  <si>
    <t>(x-avgx)2</t>
  </si>
  <si>
    <t>#x(x-avx)2</t>
  </si>
  <si>
    <t>Estimating the standard deviation from reported data</t>
  </si>
  <si>
    <t>Number correct answers</t>
  </si>
  <si>
    <t>Number people</t>
  </si>
  <si>
    <t>&lt;- average</t>
  </si>
  <si>
    <t>test signal discrimination, no training</t>
  </si>
  <si>
    <t>can estimate std dev and mean</t>
  </si>
  <si>
    <t>avg correct</t>
  </si>
  <si>
    <t>n participants</t>
  </si>
  <si>
    <t>filter #</t>
  </si>
  <si>
    <t># correct</t>
  </si>
  <si>
    <t>combinations</t>
  </si>
  <si>
    <t>prob.</t>
  </si>
  <si>
    <t>#trials</t>
  </si>
  <si>
    <t>muraoka 198181</t>
  </si>
  <si>
    <t>sum</t>
  </si>
  <si>
    <t>stimulus</t>
  </si>
  <si>
    <t>total corr</t>
  </si>
  <si>
    <t># trials</t>
  </si>
  <si>
    <t>#correct</t>
  </si>
  <si>
    <t>D</t>
  </si>
  <si>
    <t>E</t>
  </si>
  <si>
    <t>F</t>
  </si>
  <si>
    <t>G</t>
  </si>
  <si>
    <t>H</t>
  </si>
  <si>
    <t>I</t>
  </si>
  <si>
    <t>J</t>
  </si>
  <si>
    <t>K</t>
  </si>
  <si>
    <t>t-Test: Paired Two Sample for Means</t>
  </si>
  <si>
    <t>Variable 1</t>
  </si>
  <si>
    <t>Variable 2</t>
  </si>
  <si>
    <t>Variance</t>
  </si>
  <si>
    <t>Observations</t>
  </si>
  <si>
    <t>Pearson Correlation</t>
  </si>
  <si>
    <t>Hypothesized Mean Difference</t>
  </si>
  <si>
    <t>t Stat</t>
  </si>
  <si>
    <t>P(T&lt;=t) one-tail</t>
  </si>
  <si>
    <t>t Critical one-tail</t>
  </si>
  <si>
    <t>P(T&lt;=t) two-tail</t>
  </si>
  <si>
    <t>reported t value</t>
  </si>
  <si>
    <t>Stimulus 1</t>
  </si>
  <si>
    <t>Stimulus 2</t>
  </si>
  <si>
    <t>est. t value</t>
  </si>
  <si>
    <t>ERROR</t>
  </si>
  <si>
    <t>high std err</t>
  </si>
  <si>
    <t>low std err</t>
  </si>
  <si>
    <t>&lt;-</t>
  </si>
  <si>
    <t>too much range for standard error</t>
  </si>
  <si>
    <t>Best guess</t>
  </si>
  <si>
    <t>Averaging all possible solutions- probably best approach</t>
  </si>
  <si>
    <t>reported Std err</t>
  </si>
  <si>
    <t>Reported std dev</t>
  </si>
  <si>
    <t>Reported avg</t>
  </si>
  <si>
    <t>Possible answers</t>
  </si>
  <si>
    <t>#answered</t>
  </si>
  <si>
    <t>USABLE DATA</t>
  </si>
  <si>
    <t>RESULTS BY PARTICIPANTS</t>
  </si>
  <si>
    <t>USABLE ANSWERS</t>
  </si>
  <si>
    <t>Subject #</t>
  </si>
  <si>
    <t>Block #</t>
  </si>
  <si>
    <t>Sample Rate</t>
  </si>
  <si>
    <t>Ranking</t>
  </si>
  <si>
    <t>Rating</t>
  </si>
  <si>
    <t>Participant #</t>
  </si>
  <si>
    <t># answered</t>
  </si>
  <si>
    <t>live</t>
  </si>
  <si>
    <t>next best</t>
  </si>
  <si>
    <t>next worst</t>
  </si>
  <si>
    <t>worst</t>
  </si>
  <si>
    <t>Best</t>
  </si>
  <si>
    <t>incorrect</t>
  </si>
  <si>
    <t>&lt;- std dev</t>
  </si>
  <si>
    <t>TOTAL</t>
  </si>
  <si>
    <t>&lt;-Mean by participant</t>
  </si>
  <si>
    <t>Lowest possible</t>
  </si>
  <si>
    <t>Highest possible</t>
  </si>
  <si>
    <t>T value - avg err</t>
  </si>
  <si>
    <t>T value - largest err</t>
  </si>
  <si>
    <t>L1</t>
  </si>
  <si>
    <t>L2</t>
  </si>
  <si>
    <t>L3</t>
  </si>
  <si>
    <t>L4</t>
  </si>
  <si>
    <t>L5</t>
  </si>
  <si>
    <t>L6</t>
  </si>
  <si>
    <t>L7</t>
  </si>
  <si>
    <t>L8</t>
  </si>
  <si>
    <t>PARAMETERS</t>
  </si>
  <si>
    <t>Filter cutoff</t>
  </si>
  <si>
    <t>Quantization type</t>
  </si>
  <si>
    <t>TESTING ORDER</t>
  </si>
  <si>
    <t>(Second set of Latin square)</t>
  </si>
  <si>
    <t>Participant</t>
  </si>
  <si>
    <t>Trial</t>
  </si>
  <si>
    <t>HIRES</t>
  </si>
  <si>
    <t>CD</t>
  </si>
  <si>
    <t>preference</t>
  </si>
  <si>
    <t>correct?</t>
  </si>
  <si>
    <t>#</t>
  </si>
  <si>
    <t>average neg</t>
  </si>
  <si>
    <t>average pos</t>
  </si>
  <si>
    <t>SEMANTIC DESCRIPTORS</t>
  </si>
  <si>
    <t>by participant</t>
  </si>
  <si>
    <t>ratio</t>
  </si>
  <si>
    <t>Full data</t>
  </si>
  <si>
    <t>AVG</t>
  </si>
  <si>
    <t>STD DEV</t>
  </si>
  <si>
    <t>stder</t>
  </si>
  <si>
    <t>COMBINED</t>
  </si>
  <si>
    <t>Number correct</t>
  </si>
  <si>
    <t>correction</t>
  </si>
  <si>
    <t>Experiment 1</t>
  </si>
  <si>
    <t>average participant</t>
  </si>
  <si>
    <t>MEAN</t>
  </si>
  <si>
    <t>c1</t>
  </si>
  <si>
    <t>Condition</t>
  </si>
  <si>
    <t>c2</t>
  </si>
  <si>
    <t>c3</t>
  </si>
  <si>
    <t>c4</t>
  </si>
  <si>
    <t>%</t>
  </si>
  <si>
    <t>L11</t>
  </si>
  <si>
    <t>L10</t>
  </si>
  <si>
    <t>Experiment 2</t>
  </si>
  <si>
    <t>E.g. L1 did cond1, cond2, cond4, cond3, then the same again and again</t>
  </si>
  <si>
    <t>L12</t>
  </si>
  <si>
    <t>L9</t>
  </si>
  <si>
    <t>(Third set of Latin square)</t>
  </si>
  <si>
    <t>Minimum phase FIR</t>
  </si>
  <si>
    <t>Linear phase FIR</t>
  </si>
  <si>
    <t>run3</t>
  </si>
  <si>
    <t>run2</t>
  </si>
  <si>
    <t>run1</t>
  </si>
  <si>
    <t>excluding part 1 (no requant)</t>
  </si>
  <si>
    <t>da</t>
  </si>
  <si>
    <t>data withheld at request of the authors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</si>
</sst>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indexed="12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125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4" fillId="0" borderId="0" xfId="0" applyFont="1" applyFill="1" applyBorder="1"/>
    <xf numFmtId="0" fontId="6" fillId="0" borderId="0" xfId="0" applyFont="1"/>
    <xf numFmtId="0" fontId="7" fillId="0" borderId="0" xfId="0" applyFont="1"/>
    <xf numFmtId="0" fontId="6" fillId="0" borderId="11" xfId="0" applyFont="1" applyBorder="1"/>
    <xf numFmtId="0" fontId="7" fillId="0" borderId="11" xfId="0" applyFont="1" applyBorder="1"/>
    <xf numFmtId="0" fontId="0" fillId="0" borderId="11" xfId="0" applyBorder="1"/>
    <xf numFmtId="0" fontId="6" fillId="0" borderId="0" xfId="0" applyFont="1" applyFill="1" applyBorder="1"/>
    <xf numFmtId="0" fontId="6" fillId="0" borderId="11" xfId="0" applyFont="1" applyFill="1" applyBorder="1"/>
    <xf numFmtId="0" fontId="0" fillId="0" borderId="0" xfId="0" applyFill="1" applyBorder="1"/>
    <xf numFmtId="0" fontId="0" fillId="0" borderId="0" xfId="0" applyFont="1" applyAlignment="1"/>
    <xf numFmtId="0" fontId="0" fillId="0" borderId="0" xfId="0" applyFont="1" applyFill="1" applyBorder="1" applyAlignment="1"/>
    <xf numFmtId="0" fontId="0" fillId="0" borderId="1" xfId="0" applyFont="1" applyFill="1" applyBorder="1" applyAlignment="1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3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1" fillId="0" borderId="15" xfId="0" applyFont="1" applyBorder="1"/>
    <xf numFmtId="0" fontId="8" fillId="0" borderId="15" xfId="0" applyFont="1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2" xfId="0" applyBorder="1"/>
    <xf numFmtId="0" fontId="0" fillId="0" borderId="0" xfId="0" applyAlignment="1">
      <alignment vertical="center" wrapText="1"/>
    </xf>
    <xf numFmtId="0" fontId="10" fillId="0" borderId="0" xfId="1"/>
    <xf numFmtId="0" fontId="10" fillId="0" borderId="16" xfId="1" applyBorder="1" applyAlignment="1">
      <alignment horizontal="center" vertical="center"/>
    </xf>
    <xf numFmtId="0" fontId="10" fillId="0" borderId="14" xfId="1" applyBorder="1" applyAlignment="1">
      <alignment horizontal="center" vertical="center"/>
    </xf>
    <xf numFmtId="0" fontId="10" fillId="0" borderId="8" xfId="1" applyBorder="1" applyAlignment="1">
      <alignment horizontal="center" vertical="center"/>
    </xf>
    <xf numFmtId="0" fontId="10" fillId="0" borderId="17" xfId="1" applyBorder="1"/>
    <xf numFmtId="0" fontId="10" fillId="0" borderId="0" xfId="1" applyBorder="1" applyAlignment="1">
      <alignment horizontal="center"/>
    </xf>
    <xf numFmtId="0" fontId="10" fillId="0" borderId="12" xfId="1" applyBorder="1" applyAlignment="1">
      <alignment horizontal="center"/>
    </xf>
    <xf numFmtId="0" fontId="10" fillId="0" borderId="0" xfId="1" applyAlignment="1">
      <alignment horizontal="center"/>
    </xf>
    <xf numFmtId="0" fontId="10" fillId="0" borderId="13" xfId="1" applyFill="1" applyBorder="1" applyAlignment="1">
      <alignment horizontal="center" vertical="center"/>
    </xf>
    <xf numFmtId="0" fontId="10" fillId="0" borderId="0" xfId="1" applyBorder="1" applyAlignment="1">
      <alignment horizontal="center" vertical="center"/>
    </xf>
    <xf numFmtId="0" fontId="10" fillId="0" borderId="12" xfId="1" applyBorder="1" applyAlignment="1">
      <alignment horizontal="center" vertical="center"/>
    </xf>
    <xf numFmtId="0" fontId="10" fillId="0" borderId="0" xfId="1" applyBorder="1"/>
    <xf numFmtId="0" fontId="10" fillId="0" borderId="12" xfId="1" applyBorder="1"/>
    <xf numFmtId="0" fontId="10" fillId="0" borderId="13" xfId="1" applyBorder="1" applyAlignment="1">
      <alignment horizontal="center" vertical="center"/>
    </xf>
    <xf numFmtId="0" fontId="11" fillId="0" borderId="14" xfId="1" applyFont="1" applyBorder="1" applyAlignment="1">
      <alignment horizontal="right"/>
    </xf>
    <xf numFmtId="0" fontId="11" fillId="0" borderId="18" xfId="1" applyFont="1" applyBorder="1"/>
    <xf numFmtId="0" fontId="11" fillId="0" borderId="14" xfId="1" applyFont="1" applyBorder="1"/>
    <xf numFmtId="0" fontId="11" fillId="0" borderId="8" xfId="1" applyFont="1" applyBorder="1"/>
    <xf numFmtId="0" fontId="10" fillId="0" borderId="14" xfId="1" applyBorder="1"/>
    <xf numFmtId="0" fontId="11" fillId="0" borderId="0" xfId="1" applyFont="1" applyBorder="1" applyAlignment="1">
      <alignment horizontal="right"/>
    </xf>
    <xf numFmtId="0" fontId="11" fillId="0" borderId="17" xfId="1" applyFont="1" applyBorder="1"/>
    <xf numFmtId="0" fontId="11" fillId="0" borderId="0" xfId="1" applyFont="1" applyBorder="1"/>
    <xf numFmtId="0" fontId="11" fillId="0" borderId="12" xfId="1" applyFont="1" applyBorder="1"/>
    <xf numFmtId="2" fontId="10" fillId="0" borderId="0" xfId="1" applyNumberFormat="1" applyBorder="1"/>
    <xf numFmtId="0" fontId="11" fillId="0" borderId="11" xfId="1" applyFont="1" applyBorder="1" applyAlignment="1">
      <alignment horizontal="right"/>
    </xf>
    <xf numFmtId="0" fontId="11" fillId="0" borderId="19" xfId="1" applyFont="1" applyBorder="1"/>
    <xf numFmtId="0" fontId="11" fillId="0" borderId="11" xfId="1" applyFont="1" applyBorder="1"/>
    <xf numFmtId="0" fontId="11" fillId="0" borderId="10" xfId="1" applyFont="1" applyBorder="1"/>
    <xf numFmtId="2" fontId="10" fillId="0" borderId="11" xfId="1" applyNumberFormat="1" applyBorder="1"/>
    <xf numFmtId="0" fontId="11" fillId="0" borderId="0" xfId="1" applyFont="1" applyAlignment="1">
      <alignment horizontal="right"/>
    </xf>
    <xf numFmtId="2" fontId="10" fillId="0" borderId="0" xfId="1" applyNumberFormat="1"/>
    <xf numFmtId="2" fontId="10" fillId="0" borderId="14" xfId="1" applyNumberFormat="1" applyBorder="1"/>
    <xf numFmtId="0" fontId="11" fillId="0" borderId="13" xfId="1" applyFont="1" applyFill="1" applyBorder="1" applyAlignment="1">
      <alignment horizontal="center" vertical="center"/>
    </xf>
    <xf numFmtId="0" fontId="10" fillId="0" borderId="9" xfId="1" applyBorder="1" applyAlignment="1">
      <alignment horizontal="center" vertical="center"/>
    </xf>
    <xf numFmtId="0" fontId="10" fillId="0" borderId="11" xfId="1" applyBorder="1" applyAlignment="1">
      <alignment horizontal="center" vertical="center"/>
    </xf>
    <xf numFmtId="0" fontId="10" fillId="0" borderId="10" xfId="1" applyBorder="1" applyAlignment="1">
      <alignment horizontal="center" vertical="center"/>
    </xf>
    <xf numFmtId="0" fontId="10" fillId="0" borderId="11" xfId="1" applyBorder="1" applyAlignment="1">
      <alignment horizontal="right"/>
    </xf>
    <xf numFmtId="0" fontId="11" fillId="0" borderId="0" xfId="1" applyFont="1"/>
    <xf numFmtId="0" fontId="11" fillId="0" borderId="13" xfId="1" applyFont="1" applyBorder="1"/>
    <xf numFmtId="0" fontId="11" fillId="0" borderId="0" xfId="1" applyFont="1" applyAlignment="1">
      <alignment horizontal="center"/>
    </xf>
    <xf numFmtId="0" fontId="11" fillId="0" borderId="13" xfId="1" applyFont="1" applyBorder="1" applyAlignment="1">
      <alignment horizontal="center"/>
    </xf>
    <xf numFmtId="0" fontId="10" fillId="0" borderId="0" xfId="1" applyFill="1" applyBorder="1"/>
    <xf numFmtId="0" fontId="12" fillId="0" borderId="0" xfId="1" applyFont="1" applyFill="1" applyBorder="1"/>
    <xf numFmtId="0" fontId="12" fillId="0" borderId="0" xfId="1" applyFont="1" applyFill="1" applyBorder="1" applyAlignment="1">
      <alignment horizontal="right"/>
    </xf>
    <xf numFmtId="164" fontId="12" fillId="0" borderId="0" xfId="1" applyNumberFormat="1" applyFont="1" applyFill="1" applyBorder="1"/>
    <xf numFmtId="164" fontId="12" fillId="0" borderId="0" xfId="1" applyNumberFormat="1" applyFont="1" applyFill="1" applyBorder="1" applyAlignment="1">
      <alignment horizontal="center"/>
    </xf>
    <xf numFmtId="0" fontId="11" fillId="0" borderId="0" xfId="1" applyFont="1" applyBorder="1" applyAlignment="1">
      <alignment horizontal="center"/>
    </xf>
    <xf numFmtId="2" fontId="11" fillId="0" borderId="0" xfId="1" applyNumberFormat="1" applyFont="1" applyBorder="1"/>
    <xf numFmtId="0" fontId="11" fillId="0" borderId="9" xfId="1" applyFont="1" applyBorder="1"/>
    <xf numFmtId="2" fontId="12" fillId="0" borderId="11" xfId="1" applyNumberFormat="1" applyFont="1" applyBorder="1"/>
    <xf numFmtId="164" fontId="11" fillId="0" borderId="13" xfId="1" applyNumberFormat="1" applyFont="1" applyBorder="1"/>
    <xf numFmtId="0" fontId="12" fillId="0" borderId="0" xfId="1" applyFont="1" applyBorder="1"/>
    <xf numFmtId="0" fontId="11" fillId="0" borderId="16" xfId="1" applyFont="1" applyBorder="1"/>
    <xf numFmtId="0" fontId="12" fillId="0" borderId="14" xfId="1" applyFont="1" applyBorder="1"/>
    <xf numFmtId="0" fontId="10" fillId="0" borderId="9" xfId="1" applyBorder="1"/>
    <xf numFmtId="0" fontId="10" fillId="0" borderId="13" xfId="1" applyBorder="1"/>
    <xf numFmtId="0" fontId="10" fillId="0" borderId="16" xfId="1" applyBorder="1"/>
    <xf numFmtId="0" fontId="10" fillId="0" borderId="19" xfId="1" applyBorder="1"/>
    <xf numFmtId="0" fontId="10" fillId="0" borderId="0" xfId="1" applyFill="1" applyBorder="1" applyAlignment="1">
      <alignment horizontal="center" vertical="center"/>
    </xf>
    <xf numFmtId="0" fontId="10" fillId="0" borderId="18" xfId="1" applyBorder="1"/>
    <xf numFmtId="165" fontId="10" fillId="0" borderId="12" xfId="1" applyNumberFormat="1" applyBorder="1" applyAlignment="1">
      <alignment horizontal="center" vertical="center"/>
    </xf>
    <xf numFmtId="165" fontId="10" fillId="0" borderId="0" xfId="1" applyNumberFormat="1" applyBorder="1" applyAlignment="1">
      <alignment horizontal="center" vertical="center"/>
    </xf>
    <xf numFmtId="0" fontId="10" fillId="0" borderId="0" xfId="1" applyFill="1" applyBorder="1" applyAlignment="1">
      <alignment horizontal="center"/>
    </xf>
    <xf numFmtId="0" fontId="10" fillId="0" borderId="17" xfId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1" xfId="0" applyBorder="1"/>
    <xf numFmtId="0" fontId="0" fillId="0" borderId="25" xfId="0" applyBorder="1"/>
    <xf numFmtId="0" fontId="0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5" sqref="I5:I7"/>
    </sheetView>
  </sheetViews>
  <sheetFormatPr defaultRowHeight="15" x14ac:dyDescent="0.25"/>
  <sheetData>
    <row r="1" spans="1:9" x14ac:dyDescent="0.25">
      <c r="A1" t="s">
        <v>85</v>
      </c>
    </row>
    <row r="2" spans="1:9" x14ac:dyDescent="0.25">
      <c r="A2" t="s">
        <v>86</v>
      </c>
    </row>
    <row r="4" spans="1:9" x14ac:dyDescent="0.25">
      <c r="A4" t="s">
        <v>89</v>
      </c>
      <c r="B4" t="s">
        <v>87</v>
      </c>
      <c r="C4" t="s">
        <v>9</v>
      </c>
      <c r="D4" t="s">
        <v>88</v>
      </c>
      <c r="E4" t="s">
        <v>98</v>
      </c>
      <c r="F4" t="s">
        <v>99</v>
      </c>
      <c r="G4" t="s">
        <v>134</v>
      </c>
    </row>
    <row r="5" spans="1:9" x14ac:dyDescent="0.25">
      <c r="A5">
        <v>2</v>
      </c>
      <c r="B5">
        <v>0.56000000000000005</v>
      </c>
      <c r="C5">
        <v>0.12</v>
      </c>
      <c r="D5">
        <v>43</v>
      </c>
      <c r="E5">
        <v>20</v>
      </c>
      <c r="F5">
        <f>B5*E5*D5</f>
        <v>481.6</v>
      </c>
      <c r="G5">
        <f>D5*E5</f>
        <v>860</v>
      </c>
      <c r="I5">
        <v>482</v>
      </c>
    </row>
    <row r="6" spans="1:9" x14ac:dyDescent="0.25">
      <c r="A6">
        <v>5</v>
      </c>
      <c r="B6">
        <v>0.51</v>
      </c>
      <c r="C6">
        <v>0.08</v>
      </c>
      <c r="D6">
        <v>43</v>
      </c>
      <c r="E6">
        <v>20</v>
      </c>
      <c r="F6">
        <f>B6*E6*D6</f>
        <v>438.59999999999997</v>
      </c>
      <c r="G6">
        <f>D6*E6</f>
        <v>860</v>
      </c>
      <c r="I6">
        <v>439</v>
      </c>
    </row>
    <row r="7" spans="1:9" x14ac:dyDescent="0.25">
      <c r="A7">
        <v>7</v>
      </c>
      <c r="B7">
        <v>0.52</v>
      </c>
      <c r="C7">
        <v>0.08</v>
      </c>
      <c r="D7">
        <v>43</v>
      </c>
      <c r="E7">
        <v>20</v>
      </c>
      <c r="F7">
        <f>B7*E7*D7</f>
        <v>447.2</v>
      </c>
      <c r="G7">
        <f>D7*E7</f>
        <v>860</v>
      </c>
      <c r="I7">
        <v>447</v>
      </c>
    </row>
    <row r="8" spans="1:9" x14ac:dyDescent="0.25">
      <c r="A8" t="s">
        <v>44</v>
      </c>
      <c r="B8">
        <v>0.53</v>
      </c>
      <c r="C8">
        <v>9.3332999999999999E-2</v>
      </c>
      <c r="D8">
        <v>43</v>
      </c>
    </row>
    <row r="9" spans="1:9" x14ac:dyDescent="0.25">
      <c r="B9" t="s">
        <v>8</v>
      </c>
      <c r="C9">
        <f>C8/SQRT(D6)</f>
        <v>1.4233149064852992E-2</v>
      </c>
      <c r="F9">
        <f>SUM(F5:F7)</f>
        <v>1367.4</v>
      </c>
      <c r="G9">
        <f>SUM(G5:G7)</f>
        <v>2580</v>
      </c>
      <c r="H9">
        <f>0.53*2580</f>
        <v>1367.4</v>
      </c>
      <c r="I9">
        <f>SUM(I5:I7)</f>
        <v>1368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activeCell="J14" sqref="J14"/>
    </sheetView>
  </sheetViews>
  <sheetFormatPr defaultRowHeight="15" x14ac:dyDescent="0.25"/>
  <cols>
    <col min="1" max="10" width="11.7109375" customWidth="1"/>
    <col min="17" max="17" width="12.7109375" customWidth="1"/>
  </cols>
  <sheetData>
    <row r="1" spans="1:22" x14ac:dyDescent="0.25">
      <c r="B1">
        <v>276</v>
      </c>
      <c r="C1">
        <v>554</v>
      </c>
      <c r="D1">
        <f>B1/C1</f>
        <v>0.49819494584837543</v>
      </c>
      <c r="E1">
        <f>D1-0.5</f>
        <v>-1.8050541516245744E-3</v>
      </c>
    </row>
    <row r="3" spans="1:22" x14ac:dyDescent="0.25">
      <c r="A3" t="s">
        <v>81</v>
      </c>
    </row>
    <row r="4" spans="1:22" x14ac:dyDescent="0.25">
      <c r="B4" t="s">
        <v>74</v>
      </c>
      <c r="C4" t="s">
        <v>75</v>
      </c>
      <c r="D4" t="s">
        <v>76</v>
      </c>
      <c r="E4" t="s">
        <v>77</v>
      </c>
      <c r="F4" t="s">
        <v>78</v>
      </c>
      <c r="G4" t="s">
        <v>79</v>
      </c>
      <c r="H4" t="s">
        <v>80</v>
      </c>
      <c r="N4" t="s">
        <v>74</v>
      </c>
      <c r="O4" t="s">
        <v>75</v>
      </c>
      <c r="P4" t="s">
        <v>76</v>
      </c>
      <c r="Q4" t="s">
        <v>77</v>
      </c>
      <c r="R4" t="s">
        <v>78</v>
      </c>
      <c r="S4" t="s">
        <v>79</v>
      </c>
      <c r="T4" t="s">
        <v>80</v>
      </c>
    </row>
    <row r="5" spans="1:22" x14ac:dyDescent="0.25">
      <c r="B5">
        <v>0</v>
      </c>
      <c r="C5">
        <v>0</v>
      </c>
      <c r="D5">
        <v>0</v>
      </c>
      <c r="E5">
        <f t="shared" ref="E5:E13" si="0">C5*D5</f>
        <v>0</v>
      </c>
      <c r="F5">
        <v>-0.5</v>
      </c>
      <c r="G5">
        <f t="shared" ref="G5:G13" si="1">F5*F5</f>
        <v>0.25</v>
      </c>
      <c r="H5">
        <f t="shared" ref="H5:H13" si="2">G5*C5</f>
        <v>0</v>
      </c>
      <c r="N5">
        <v>0</v>
      </c>
      <c r="O5">
        <v>7</v>
      </c>
      <c r="P5">
        <v>0</v>
      </c>
      <c r="Q5">
        <f t="shared" ref="Q5:Q13" si="3">O5*P5</f>
        <v>0</v>
      </c>
      <c r="R5">
        <v>-0.5</v>
      </c>
      <c r="S5">
        <f t="shared" ref="S5:S13" si="4">R5*R5</f>
        <v>0.25</v>
      </c>
      <c r="T5">
        <f t="shared" ref="T5:T13" si="5">S5*O5</f>
        <v>1.75</v>
      </c>
    </row>
    <row r="6" spans="1:22" x14ac:dyDescent="0.25">
      <c r="B6">
        <v>1</v>
      </c>
      <c r="C6">
        <v>0</v>
      </c>
      <c r="D6">
        <v>0.1</v>
      </c>
      <c r="E6">
        <f t="shared" si="0"/>
        <v>0</v>
      </c>
      <c r="F6">
        <v>-0.4</v>
      </c>
      <c r="G6">
        <f t="shared" si="1"/>
        <v>0.16000000000000003</v>
      </c>
      <c r="H6">
        <f t="shared" si="2"/>
        <v>0</v>
      </c>
      <c r="N6">
        <v>1</v>
      </c>
      <c r="O6">
        <v>2</v>
      </c>
      <c r="P6">
        <v>0.1</v>
      </c>
      <c r="Q6">
        <f t="shared" si="3"/>
        <v>0.2</v>
      </c>
      <c r="R6">
        <v>-0.4</v>
      </c>
      <c r="S6">
        <f t="shared" si="4"/>
        <v>0.16000000000000003</v>
      </c>
      <c r="T6">
        <f t="shared" si="5"/>
        <v>0.32000000000000006</v>
      </c>
    </row>
    <row r="7" spans="1:22" x14ac:dyDescent="0.25">
      <c r="B7">
        <v>2</v>
      </c>
      <c r="C7">
        <v>2</v>
      </c>
      <c r="D7">
        <v>0.2</v>
      </c>
      <c r="E7">
        <f t="shared" si="0"/>
        <v>0.4</v>
      </c>
      <c r="F7">
        <v>-0.3</v>
      </c>
      <c r="G7">
        <f t="shared" si="1"/>
        <v>0.09</v>
      </c>
      <c r="H7">
        <f t="shared" si="2"/>
        <v>0.18</v>
      </c>
      <c r="N7">
        <v>2</v>
      </c>
      <c r="O7">
        <v>0</v>
      </c>
      <c r="P7">
        <v>0.2</v>
      </c>
      <c r="Q7">
        <f t="shared" si="3"/>
        <v>0</v>
      </c>
      <c r="R7">
        <v>-0.3</v>
      </c>
      <c r="S7">
        <f t="shared" si="4"/>
        <v>0.09</v>
      </c>
      <c r="T7">
        <f t="shared" si="5"/>
        <v>0</v>
      </c>
    </row>
    <row r="8" spans="1:22" x14ac:dyDescent="0.25">
      <c r="B8">
        <v>3</v>
      </c>
      <c r="C8">
        <v>3</v>
      </c>
      <c r="D8">
        <v>0.3</v>
      </c>
      <c r="E8">
        <f t="shared" si="0"/>
        <v>0.89999999999999991</v>
      </c>
      <c r="F8">
        <v>-0.2</v>
      </c>
      <c r="G8">
        <f t="shared" si="1"/>
        <v>4.0000000000000008E-2</v>
      </c>
      <c r="H8">
        <f t="shared" si="2"/>
        <v>0.12000000000000002</v>
      </c>
      <c r="N8">
        <v>3</v>
      </c>
      <c r="O8">
        <v>0</v>
      </c>
      <c r="P8">
        <v>0.3</v>
      </c>
      <c r="Q8">
        <f t="shared" si="3"/>
        <v>0</v>
      </c>
      <c r="R8">
        <v>-0.2</v>
      </c>
      <c r="S8">
        <f t="shared" si="4"/>
        <v>4.0000000000000008E-2</v>
      </c>
      <c r="T8">
        <f t="shared" si="5"/>
        <v>0</v>
      </c>
    </row>
    <row r="9" spans="1:22" x14ac:dyDescent="0.25">
      <c r="B9">
        <v>4</v>
      </c>
      <c r="C9">
        <v>3</v>
      </c>
      <c r="D9">
        <v>0.4</v>
      </c>
      <c r="E9">
        <f t="shared" si="0"/>
        <v>1.2000000000000002</v>
      </c>
      <c r="F9">
        <v>-0.1</v>
      </c>
      <c r="G9">
        <f t="shared" si="1"/>
        <v>1.0000000000000002E-2</v>
      </c>
      <c r="H9">
        <f t="shared" si="2"/>
        <v>3.0000000000000006E-2</v>
      </c>
      <c r="N9">
        <v>4</v>
      </c>
      <c r="O9">
        <v>0</v>
      </c>
      <c r="P9">
        <v>0.4</v>
      </c>
      <c r="Q9">
        <f t="shared" si="3"/>
        <v>0</v>
      </c>
      <c r="R9">
        <v>-0.1</v>
      </c>
      <c r="S9">
        <f t="shared" si="4"/>
        <v>1.0000000000000002E-2</v>
      </c>
      <c r="T9">
        <f t="shared" si="5"/>
        <v>0</v>
      </c>
    </row>
    <row r="10" spans="1:22" x14ac:dyDescent="0.25">
      <c r="B10">
        <v>5</v>
      </c>
      <c r="C10">
        <v>29</v>
      </c>
      <c r="D10">
        <v>0.5</v>
      </c>
      <c r="E10">
        <f t="shared" si="0"/>
        <v>14.5</v>
      </c>
      <c r="F10">
        <v>0</v>
      </c>
      <c r="G10">
        <f t="shared" si="1"/>
        <v>0</v>
      </c>
      <c r="H10">
        <f t="shared" si="2"/>
        <v>0</v>
      </c>
      <c r="N10">
        <v>5</v>
      </c>
      <c r="O10">
        <v>0</v>
      </c>
      <c r="P10">
        <v>0.5</v>
      </c>
      <c r="Q10">
        <f t="shared" si="3"/>
        <v>0</v>
      </c>
      <c r="R10">
        <v>0</v>
      </c>
      <c r="S10">
        <f t="shared" si="4"/>
        <v>0</v>
      </c>
      <c r="T10">
        <f t="shared" si="5"/>
        <v>0</v>
      </c>
    </row>
    <row r="11" spans="1:22" x14ac:dyDescent="0.25">
      <c r="B11">
        <v>6</v>
      </c>
      <c r="C11">
        <f>52-SUM(C5:C10)</f>
        <v>15</v>
      </c>
      <c r="D11">
        <v>0.6</v>
      </c>
      <c r="E11">
        <f t="shared" si="0"/>
        <v>9</v>
      </c>
      <c r="F11">
        <v>0.1</v>
      </c>
      <c r="G11">
        <f t="shared" si="1"/>
        <v>1.0000000000000002E-2</v>
      </c>
      <c r="H11">
        <f t="shared" si="2"/>
        <v>0.15000000000000002</v>
      </c>
      <c r="N11">
        <v>6</v>
      </c>
      <c r="O11">
        <v>43</v>
      </c>
      <c r="P11">
        <v>0.6</v>
      </c>
      <c r="Q11">
        <f t="shared" si="3"/>
        <v>25.8</v>
      </c>
      <c r="R11">
        <v>0.1</v>
      </c>
      <c r="S11">
        <f t="shared" si="4"/>
        <v>1.0000000000000002E-2</v>
      </c>
      <c r="T11">
        <f t="shared" si="5"/>
        <v>0.4300000000000001</v>
      </c>
    </row>
    <row r="12" spans="1:22" x14ac:dyDescent="0.25">
      <c r="B12">
        <v>7</v>
      </c>
      <c r="C12">
        <v>2</v>
      </c>
      <c r="D12">
        <v>0.7</v>
      </c>
      <c r="E12">
        <f t="shared" si="0"/>
        <v>1.4</v>
      </c>
      <c r="F12">
        <v>0.2</v>
      </c>
      <c r="G12">
        <f t="shared" si="1"/>
        <v>4.0000000000000008E-2</v>
      </c>
      <c r="H12">
        <f t="shared" si="2"/>
        <v>8.0000000000000016E-2</v>
      </c>
      <c r="N12">
        <v>7</v>
      </c>
      <c r="O12">
        <v>2</v>
      </c>
      <c r="P12">
        <v>0.7</v>
      </c>
      <c r="Q12">
        <f t="shared" si="3"/>
        <v>1.4</v>
      </c>
      <c r="R12">
        <v>0.2</v>
      </c>
      <c r="S12">
        <f t="shared" si="4"/>
        <v>4.0000000000000008E-2</v>
      </c>
      <c r="T12">
        <f t="shared" si="5"/>
        <v>8.0000000000000016E-2</v>
      </c>
    </row>
    <row r="13" spans="1:22" x14ac:dyDescent="0.25">
      <c r="B13">
        <v>8</v>
      </c>
      <c r="C13">
        <v>1</v>
      </c>
      <c r="E13">
        <f t="shared" si="0"/>
        <v>0</v>
      </c>
      <c r="F13">
        <v>0.3</v>
      </c>
      <c r="G13">
        <f t="shared" si="1"/>
        <v>0.09</v>
      </c>
      <c r="H13">
        <f t="shared" si="2"/>
        <v>0.09</v>
      </c>
      <c r="I13" t="s">
        <v>35</v>
      </c>
      <c r="J13" t="s">
        <v>8</v>
      </c>
      <c r="N13">
        <v>8</v>
      </c>
      <c r="O13">
        <v>1</v>
      </c>
      <c r="Q13">
        <f t="shared" si="3"/>
        <v>0</v>
      </c>
      <c r="R13">
        <v>0.3</v>
      </c>
      <c r="S13">
        <f t="shared" si="4"/>
        <v>0.09</v>
      </c>
      <c r="T13">
        <f t="shared" si="5"/>
        <v>0.09</v>
      </c>
      <c r="U13" t="s">
        <v>35</v>
      </c>
      <c r="V13" t="s">
        <v>8</v>
      </c>
    </row>
    <row r="14" spans="1:22" x14ac:dyDescent="0.25">
      <c r="A14" t="s">
        <v>47</v>
      </c>
      <c r="C14">
        <f>SUM(C5:C13)</f>
        <v>55</v>
      </c>
      <c r="E14">
        <f>SUM(E5:E13)/C14</f>
        <v>0.49818181818181817</v>
      </c>
      <c r="H14">
        <f>SUM(H5:H13)</f>
        <v>0.65</v>
      </c>
      <c r="I14">
        <f>SQRT(H14/(C14-1))</f>
        <v>0.10971343143406388</v>
      </c>
      <c r="J14">
        <f>I14/SQRT(C14)</f>
        <v>1.4793756076643242E-2</v>
      </c>
      <c r="O14">
        <f>SUM(O5:O13)</f>
        <v>55</v>
      </c>
      <c r="Q14">
        <f>SUM(Q5:Q13)/O14</f>
        <v>0.49818181818181817</v>
      </c>
      <c r="T14">
        <f>SUM(T5:T13)</f>
        <v>2.6700000000000004</v>
      </c>
      <c r="U14">
        <f>SQRT(T14/(O14-1))</f>
        <v>0.2223610677354389</v>
      </c>
      <c r="V14">
        <f>U14/SQRT(O14)</f>
        <v>2.9983160256882514E-2</v>
      </c>
    </row>
    <row r="16" spans="1:22" x14ac:dyDescent="0.25">
      <c r="A16" t="s">
        <v>90</v>
      </c>
      <c r="B16" t="s">
        <v>91</v>
      </c>
      <c r="K16" t="s">
        <v>124</v>
      </c>
      <c r="L16">
        <v>2.9989999999999999E-2</v>
      </c>
      <c r="M16" s="123" t="s">
        <v>126</v>
      </c>
      <c r="N16" s="124" t="s">
        <v>127</v>
      </c>
      <c r="O16" s="124"/>
      <c r="P16" s="124"/>
    </row>
    <row r="17" spans="1:16" x14ac:dyDescent="0.25">
      <c r="A17">
        <v>0</v>
      </c>
      <c r="B17">
        <v>1</v>
      </c>
      <c r="K17" t="s">
        <v>125</v>
      </c>
      <c r="L17">
        <v>7.5659999999999998E-3</v>
      </c>
      <c r="M17" s="123"/>
      <c r="N17" s="124"/>
      <c r="O17" s="124"/>
      <c r="P17" s="124"/>
    </row>
    <row r="18" spans="1:16" x14ac:dyDescent="0.25">
      <c r="A18">
        <v>1</v>
      </c>
      <c r="B18">
        <v>10</v>
      </c>
    </row>
    <row r="19" spans="1:16" x14ac:dyDescent="0.25">
      <c r="A19">
        <v>2</v>
      </c>
      <c r="B19">
        <v>45</v>
      </c>
    </row>
    <row r="20" spans="1:16" x14ac:dyDescent="0.25">
      <c r="A20">
        <v>3</v>
      </c>
      <c r="B20">
        <v>120</v>
      </c>
    </row>
    <row r="21" spans="1:16" x14ac:dyDescent="0.25">
      <c r="A21">
        <v>4</v>
      </c>
      <c r="B21">
        <v>210</v>
      </c>
    </row>
    <row r="22" spans="1:16" x14ac:dyDescent="0.25">
      <c r="A22">
        <v>5</v>
      </c>
      <c r="B22">
        <v>252</v>
      </c>
    </row>
    <row r="23" spans="1:16" x14ac:dyDescent="0.25">
      <c r="A23">
        <v>6</v>
      </c>
      <c r="B23">
        <v>210</v>
      </c>
    </row>
    <row r="24" spans="1:16" x14ac:dyDescent="0.25">
      <c r="A24">
        <v>7</v>
      </c>
      <c r="B24">
        <v>120</v>
      </c>
      <c r="C24">
        <v>176</v>
      </c>
    </row>
    <row r="25" spans="1:16" x14ac:dyDescent="0.25">
      <c r="A25">
        <v>8</v>
      </c>
      <c r="B25">
        <v>45</v>
      </c>
      <c r="C25">
        <v>56</v>
      </c>
    </row>
    <row r="26" spans="1:16" x14ac:dyDescent="0.25">
      <c r="A26">
        <v>9</v>
      </c>
      <c r="B26">
        <v>10</v>
      </c>
      <c r="C26">
        <v>11</v>
      </c>
    </row>
    <row r="27" spans="1:16" x14ac:dyDescent="0.25">
      <c r="A27">
        <v>10</v>
      </c>
      <c r="B27">
        <v>1</v>
      </c>
      <c r="C27">
        <v>1</v>
      </c>
    </row>
  </sheetData>
  <mergeCells count="2">
    <mergeCell ref="M16:M17"/>
    <mergeCell ref="N16:P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3" sqref="F13"/>
    </sheetView>
  </sheetViews>
  <sheetFormatPr defaultRowHeight="15" x14ac:dyDescent="0.25"/>
  <cols>
    <col min="2" max="2" width="11.5703125" bestFit="1" customWidth="1"/>
    <col min="3" max="3" width="11.5703125" customWidth="1"/>
    <col min="4" max="4" width="11.5703125" bestFit="1" customWidth="1"/>
    <col min="5" max="5" width="11.5703125" customWidth="1"/>
    <col min="6" max="6" width="11.5703125" bestFit="1" customWidth="1"/>
  </cols>
  <sheetData>
    <row r="1" spans="1:6" ht="15.75" thickBot="1" x14ac:dyDescent="0.3">
      <c r="A1" s="2" t="s">
        <v>30</v>
      </c>
      <c r="B1" s="6" t="s">
        <v>31</v>
      </c>
      <c r="C1" s="5" t="s">
        <v>36</v>
      </c>
      <c r="D1" s="7" t="s">
        <v>32</v>
      </c>
      <c r="E1" s="7" t="s">
        <v>37</v>
      </c>
      <c r="F1" s="7" t="s">
        <v>34</v>
      </c>
    </row>
    <row r="2" spans="1:6" ht="16.5" thickTop="1" thickBot="1" x14ac:dyDescent="0.3">
      <c r="A2" s="3">
        <v>1</v>
      </c>
      <c r="B2" s="4">
        <v>1</v>
      </c>
      <c r="C2" s="4">
        <f t="shared" ref="C2:C11" si="0">B2/6</f>
        <v>0.16666666666666666</v>
      </c>
      <c r="D2" s="4">
        <v>5</v>
      </c>
      <c r="E2" s="4">
        <f t="shared" ref="E2:E7" si="1">D2/6</f>
        <v>0.83333333333333337</v>
      </c>
      <c r="F2" s="8">
        <f t="shared" ref="F2:F7" si="2">(B2+D2)/12</f>
        <v>0.5</v>
      </c>
    </row>
    <row r="3" spans="1:6" ht="15.75" thickBot="1" x14ac:dyDescent="0.3">
      <c r="A3" s="3">
        <v>2</v>
      </c>
      <c r="B3" s="4">
        <v>2</v>
      </c>
      <c r="C3" s="4">
        <f t="shared" si="0"/>
        <v>0.33333333333333331</v>
      </c>
      <c r="D3" s="4">
        <v>4</v>
      </c>
      <c r="E3" s="4">
        <f t="shared" si="1"/>
        <v>0.66666666666666663</v>
      </c>
      <c r="F3" s="8">
        <f t="shared" si="2"/>
        <v>0.5</v>
      </c>
    </row>
    <row r="4" spans="1:6" ht="15.75" thickBot="1" x14ac:dyDescent="0.3">
      <c r="A4" s="3">
        <v>3</v>
      </c>
      <c r="B4" s="4">
        <v>2</v>
      </c>
      <c r="C4" s="4">
        <f t="shared" si="0"/>
        <v>0.33333333333333331</v>
      </c>
      <c r="D4" s="4">
        <v>3</v>
      </c>
      <c r="E4" s="4">
        <f t="shared" si="1"/>
        <v>0.5</v>
      </c>
      <c r="F4" s="8">
        <f t="shared" si="2"/>
        <v>0.41666666666666669</v>
      </c>
    </row>
    <row r="5" spans="1:6" ht="15.75" thickBot="1" x14ac:dyDescent="0.3">
      <c r="A5" s="3">
        <v>4</v>
      </c>
      <c r="B5" s="4">
        <v>2</v>
      </c>
      <c r="C5" s="4">
        <f t="shared" si="0"/>
        <v>0.33333333333333331</v>
      </c>
      <c r="D5" s="4">
        <v>4</v>
      </c>
      <c r="E5" s="4">
        <f t="shared" si="1"/>
        <v>0.66666666666666663</v>
      </c>
      <c r="F5" s="8">
        <f t="shared" si="2"/>
        <v>0.5</v>
      </c>
    </row>
    <row r="6" spans="1:6" ht="15.75" thickBot="1" x14ac:dyDescent="0.3">
      <c r="A6" s="3">
        <v>5</v>
      </c>
      <c r="B6" s="4">
        <v>3</v>
      </c>
      <c r="C6" s="4">
        <f t="shared" si="0"/>
        <v>0.5</v>
      </c>
      <c r="D6" s="4">
        <v>3</v>
      </c>
      <c r="E6" s="4">
        <f t="shared" si="1"/>
        <v>0.5</v>
      </c>
      <c r="F6" s="8">
        <f t="shared" si="2"/>
        <v>0.5</v>
      </c>
    </row>
    <row r="7" spans="1:6" ht="15.75" thickBot="1" x14ac:dyDescent="0.3">
      <c r="A7" s="3">
        <v>6</v>
      </c>
      <c r="B7" s="4">
        <v>2</v>
      </c>
      <c r="C7" s="4">
        <f t="shared" si="0"/>
        <v>0.33333333333333331</v>
      </c>
      <c r="D7" s="4">
        <v>0</v>
      </c>
      <c r="E7" s="4">
        <f t="shared" si="1"/>
        <v>0</v>
      </c>
      <c r="F7" s="8">
        <f t="shared" si="2"/>
        <v>0.16666666666666666</v>
      </c>
    </row>
    <row r="8" spans="1:6" ht="15.75" thickBot="1" x14ac:dyDescent="0.3">
      <c r="A8" s="3">
        <v>7</v>
      </c>
      <c r="B8" s="4">
        <v>3</v>
      </c>
      <c r="C8" s="4">
        <f t="shared" si="0"/>
        <v>0.5</v>
      </c>
      <c r="D8" s="4"/>
      <c r="E8" s="4"/>
      <c r="F8" s="8">
        <v>0.5</v>
      </c>
    </row>
    <row r="9" spans="1:6" ht="15.75" thickBot="1" x14ac:dyDescent="0.3">
      <c r="A9" s="3">
        <v>8</v>
      </c>
      <c r="B9" s="4">
        <v>3</v>
      </c>
      <c r="C9" s="4">
        <f t="shared" si="0"/>
        <v>0.5</v>
      </c>
      <c r="D9" s="4">
        <v>3</v>
      </c>
      <c r="E9" s="4">
        <f>D9/6</f>
        <v>0.5</v>
      </c>
      <c r="F9" s="8">
        <f>(B9+D9)/12</f>
        <v>0.5</v>
      </c>
    </row>
    <row r="10" spans="1:6" ht="15.75" thickBot="1" x14ac:dyDescent="0.3">
      <c r="A10" s="3">
        <v>9</v>
      </c>
      <c r="B10" s="4">
        <v>1</v>
      </c>
      <c r="C10" s="4">
        <f t="shared" si="0"/>
        <v>0.16666666666666666</v>
      </c>
      <c r="D10" s="4">
        <v>5</v>
      </c>
      <c r="E10" s="4">
        <f>D10/6</f>
        <v>0.83333333333333337</v>
      </c>
      <c r="F10" s="8">
        <f>(B10+D10)/12</f>
        <v>0.5</v>
      </c>
    </row>
    <row r="11" spans="1:6" ht="15.75" thickBot="1" x14ac:dyDescent="0.3">
      <c r="A11" s="3">
        <v>10</v>
      </c>
      <c r="B11" s="4">
        <v>4</v>
      </c>
      <c r="C11" s="4">
        <f t="shared" si="0"/>
        <v>0.66666666666666663</v>
      </c>
      <c r="D11" s="4">
        <v>4</v>
      </c>
      <c r="E11" s="4">
        <f>D11/6</f>
        <v>0.66666666666666663</v>
      </c>
      <c r="F11" s="8">
        <f>(B11+D11)/12</f>
        <v>0.66666666666666663</v>
      </c>
    </row>
    <row r="12" spans="1:6" x14ac:dyDescent="0.25">
      <c r="A12" s="15" t="s">
        <v>47</v>
      </c>
      <c r="B12" s="16">
        <f>SUM(B2:B11)</f>
        <v>23</v>
      </c>
      <c r="C12" s="16"/>
      <c r="D12" s="16">
        <f>SUM(D2:D11)</f>
        <v>31</v>
      </c>
      <c r="E12" s="16"/>
      <c r="F12" s="8"/>
    </row>
    <row r="13" spans="1:6" x14ac:dyDescent="0.25">
      <c r="A13" t="s">
        <v>33</v>
      </c>
      <c r="B13" s="8">
        <f>AVERAGE(B2:B11)/6</f>
        <v>0.3833333333333333</v>
      </c>
      <c r="C13" s="8">
        <f>AVERAGE(C2:C11)</f>
        <v>0.3833333333333333</v>
      </c>
      <c r="D13" s="8">
        <f>AVERAGE(D2:D11)/6</f>
        <v>0.57407407407407407</v>
      </c>
      <c r="E13" s="8">
        <f>AVERAGE(E9:E11,E2:E7)</f>
        <v>0.57407407407407407</v>
      </c>
      <c r="F13" s="8">
        <f>AVERAGE(F2:F11)</f>
        <v>0.47500000000000009</v>
      </c>
    </row>
    <row r="14" spans="1:6" x14ac:dyDescent="0.25">
      <c r="A14" t="s">
        <v>35</v>
      </c>
      <c r="B14" s="8">
        <f>STDEV(B2:B11)</f>
        <v>0.94868329805051388</v>
      </c>
      <c r="C14" s="8">
        <f>STDEV(C2:C11)</f>
        <v>0.158113883008419</v>
      </c>
      <c r="D14" s="8">
        <f>STDEV(D2:D11)</f>
        <v>1.5092308563562364</v>
      </c>
      <c r="E14" s="8">
        <f>STDEV(E9:E11,E2:E7)</f>
        <v>0.25153847605937268</v>
      </c>
      <c r="F14" s="8">
        <f>STDEV(F2:F11)</f>
        <v>0.12453617650811015</v>
      </c>
    </row>
    <row r="15" spans="1:6" x14ac:dyDescent="0.25">
      <c r="A15" t="s">
        <v>8</v>
      </c>
      <c r="B15">
        <f>B14/SQRT(10)</f>
        <v>0.3</v>
      </c>
      <c r="C15">
        <f>C14/SQRT(10)</f>
        <v>5.000000000000001E-2</v>
      </c>
      <c r="D15">
        <f>D14/SQRT(10)</f>
        <v>0.47726070210921184</v>
      </c>
      <c r="E15">
        <f>E14/SQRT(10)</f>
        <v>7.9543450351535289E-2</v>
      </c>
      <c r="F15">
        <f>F14/SQRT(10)</f>
        <v>3.9381796885438282E-2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6" sqref="E6"/>
    </sheetView>
  </sheetViews>
  <sheetFormatPr defaultRowHeight="15" x14ac:dyDescent="0.25"/>
  <cols>
    <col min="2" max="2" width="19.7109375" customWidth="1"/>
    <col min="3" max="3" width="15.140625" customWidth="1"/>
  </cols>
  <sheetData>
    <row r="1" spans="1:5" x14ac:dyDescent="0.25">
      <c r="A1" t="s">
        <v>55</v>
      </c>
    </row>
    <row r="2" spans="1:5" x14ac:dyDescent="0.25">
      <c r="B2" t="s">
        <v>56</v>
      </c>
      <c r="C2" t="s">
        <v>57</v>
      </c>
      <c r="D2" t="s">
        <v>58</v>
      </c>
    </row>
    <row r="3" spans="1:5" x14ac:dyDescent="0.25">
      <c r="B3">
        <v>260</v>
      </c>
      <c r="C3">
        <v>0.55200000000000005</v>
      </c>
      <c r="D3">
        <f>B3*C3</f>
        <v>143.52000000000001</v>
      </c>
    </row>
    <row r="4" spans="1:5" x14ac:dyDescent="0.25">
      <c r="B4">
        <v>60</v>
      </c>
      <c r="C4">
        <v>0.39</v>
      </c>
      <c r="D4">
        <f>B4*C4</f>
        <v>23.400000000000002</v>
      </c>
    </row>
    <row r="5" spans="1:5" x14ac:dyDescent="0.25">
      <c r="A5" t="s">
        <v>47</v>
      </c>
      <c r="B5">
        <f>SUM(B3:B4)</f>
        <v>320</v>
      </c>
      <c r="D5">
        <f>SUM(D3:D4)</f>
        <v>166.92000000000002</v>
      </c>
      <c r="E5">
        <f>D5/B5</f>
        <v>0.52162500000000001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workbookViewId="0">
      <selection activeCell="L28" sqref="L28"/>
    </sheetView>
  </sheetViews>
  <sheetFormatPr defaultRowHeight="15" x14ac:dyDescent="0.25"/>
  <sheetData>
    <row r="1" spans="1:18" x14ac:dyDescent="0.25">
      <c r="A1" t="s">
        <v>135</v>
      </c>
      <c r="I1" t="s">
        <v>136</v>
      </c>
      <c r="N1" t="s">
        <v>137</v>
      </c>
    </row>
    <row r="2" spans="1:18" ht="15.75" thickBot="1" x14ac:dyDescent="0.3">
      <c r="A2" s="18" t="s">
        <v>138</v>
      </c>
      <c r="B2" s="18" t="s">
        <v>139</v>
      </c>
      <c r="C2" s="18" t="s">
        <v>140</v>
      </c>
      <c r="D2" s="19" t="s">
        <v>141</v>
      </c>
      <c r="E2" s="20" t="s">
        <v>142</v>
      </c>
      <c r="F2" s="21" t="s">
        <v>27</v>
      </c>
      <c r="G2" s="21" t="s">
        <v>0</v>
      </c>
      <c r="I2" t="s">
        <v>143</v>
      </c>
      <c r="J2" t="s">
        <v>99</v>
      </c>
      <c r="K2" t="s">
        <v>144</v>
      </c>
      <c r="L2" t="s">
        <v>76</v>
      </c>
      <c r="N2" s="17" t="s">
        <v>145</v>
      </c>
      <c r="O2" s="17">
        <v>44</v>
      </c>
      <c r="P2" s="17" t="s">
        <v>145</v>
      </c>
      <c r="Q2">
        <v>192</v>
      </c>
      <c r="R2">
        <v>192</v>
      </c>
    </row>
    <row r="3" spans="1:18" x14ac:dyDescent="0.25">
      <c r="A3" s="22">
        <v>1</v>
      </c>
      <c r="B3" s="22">
        <v>1</v>
      </c>
      <c r="C3" s="22" t="s">
        <v>145</v>
      </c>
      <c r="D3" s="23" t="s">
        <v>146</v>
      </c>
      <c r="E3" s="23">
        <v>85</v>
      </c>
      <c r="F3" s="22">
        <v>1</v>
      </c>
      <c r="G3">
        <v>1</v>
      </c>
      <c r="I3">
        <v>1</v>
      </c>
      <c r="J3">
        <v>4</v>
      </c>
      <c r="K3">
        <v>4</v>
      </c>
      <c r="L3">
        <f>J3/K3</f>
        <v>1</v>
      </c>
      <c r="N3" s="17">
        <v>192</v>
      </c>
      <c r="O3" s="17">
        <v>192</v>
      </c>
      <c r="P3" s="17">
        <v>44</v>
      </c>
      <c r="Q3" s="36">
        <v>44</v>
      </c>
      <c r="R3" t="s">
        <v>145</v>
      </c>
    </row>
    <row r="4" spans="1:18" x14ac:dyDescent="0.25">
      <c r="A4" s="22">
        <v>1</v>
      </c>
      <c r="B4" s="22">
        <v>1</v>
      </c>
      <c r="C4" s="22">
        <v>192</v>
      </c>
      <c r="D4" s="23" t="s">
        <v>147</v>
      </c>
      <c r="E4" s="23">
        <v>37</v>
      </c>
      <c r="I4">
        <v>2</v>
      </c>
      <c r="J4">
        <v>1</v>
      </c>
      <c r="K4">
        <v>2</v>
      </c>
      <c r="L4">
        <f>J4/K4</f>
        <v>0.5</v>
      </c>
      <c r="N4" s="17">
        <v>44</v>
      </c>
      <c r="O4" s="17" t="s">
        <v>145</v>
      </c>
      <c r="P4" s="17">
        <v>192</v>
      </c>
      <c r="Q4" t="s">
        <v>145</v>
      </c>
      <c r="R4">
        <v>44</v>
      </c>
    </row>
    <row r="5" spans="1:18" x14ac:dyDescent="0.25">
      <c r="A5" s="22">
        <v>1</v>
      </c>
      <c r="B5" s="22">
        <v>1</v>
      </c>
      <c r="C5" s="22">
        <v>44</v>
      </c>
      <c r="D5" s="23" t="s">
        <v>148</v>
      </c>
      <c r="E5" s="23">
        <v>1</v>
      </c>
      <c r="I5">
        <v>4</v>
      </c>
      <c r="J5">
        <v>0</v>
      </c>
      <c r="K5">
        <v>1</v>
      </c>
      <c r="L5">
        <f t="shared" ref="L5:L26" si="0">J5/K5</f>
        <v>0</v>
      </c>
      <c r="N5" s="17">
        <v>1</v>
      </c>
      <c r="O5" s="17">
        <v>1</v>
      </c>
      <c r="P5" s="17">
        <v>0</v>
      </c>
    </row>
    <row r="6" spans="1:18" x14ac:dyDescent="0.25">
      <c r="A6" s="22">
        <v>1</v>
      </c>
      <c r="B6" s="22">
        <v>2</v>
      </c>
      <c r="C6" s="22">
        <v>44</v>
      </c>
      <c r="D6" s="23" t="s">
        <v>149</v>
      </c>
      <c r="E6" s="22">
        <v>100</v>
      </c>
      <c r="F6" s="22">
        <v>1</v>
      </c>
      <c r="G6" s="22">
        <v>1</v>
      </c>
      <c r="I6" s="21">
        <v>5</v>
      </c>
      <c r="J6">
        <v>1</v>
      </c>
      <c r="K6">
        <v>3</v>
      </c>
      <c r="L6">
        <f t="shared" si="0"/>
        <v>0.33333333333333331</v>
      </c>
      <c r="N6" s="17">
        <v>1</v>
      </c>
      <c r="O6" s="17">
        <v>1</v>
      </c>
      <c r="P6" s="17">
        <v>0</v>
      </c>
    </row>
    <row r="7" spans="1:18" x14ac:dyDescent="0.25">
      <c r="A7" s="22">
        <v>1</v>
      </c>
      <c r="B7" s="22">
        <v>2</v>
      </c>
      <c r="C7" s="22">
        <v>192</v>
      </c>
      <c r="D7" s="23" t="s">
        <v>146</v>
      </c>
      <c r="E7" s="22">
        <v>90</v>
      </c>
      <c r="I7">
        <v>6</v>
      </c>
      <c r="J7">
        <v>1</v>
      </c>
      <c r="K7">
        <v>2</v>
      </c>
      <c r="L7">
        <f t="shared" si="0"/>
        <v>0.5</v>
      </c>
      <c r="N7" t="s">
        <v>41</v>
      </c>
      <c r="O7" t="s">
        <v>41</v>
      </c>
      <c r="P7" t="s">
        <v>150</v>
      </c>
      <c r="Q7" t="s">
        <v>150</v>
      </c>
    </row>
    <row r="8" spans="1:18" x14ac:dyDescent="0.25">
      <c r="A8" s="22">
        <v>1</v>
      </c>
      <c r="B8" s="22">
        <v>2</v>
      </c>
      <c r="C8" s="22" t="s">
        <v>145</v>
      </c>
      <c r="D8" s="23" t="s">
        <v>148</v>
      </c>
      <c r="E8" s="22">
        <v>1</v>
      </c>
      <c r="I8">
        <v>7</v>
      </c>
      <c r="J8">
        <v>1</v>
      </c>
      <c r="K8">
        <v>3</v>
      </c>
      <c r="L8">
        <f t="shared" si="0"/>
        <v>0.33333333333333331</v>
      </c>
    </row>
    <row r="9" spans="1:18" x14ac:dyDescent="0.25">
      <c r="A9" s="22">
        <v>1</v>
      </c>
      <c r="B9" s="22">
        <v>3</v>
      </c>
      <c r="C9" s="22">
        <v>44</v>
      </c>
      <c r="D9" s="23" t="s">
        <v>149</v>
      </c>
      <c r="E9" s="22">
        <v>100</v>
      </c>
      <c r="F9" s="22">
        <v>1</v>
      </c>
      <c r="G9" s="22">
        <v>1</v>
      </c>
      <c r="I9">
        <v>8</v>
      </c>
      <c r="J9">
        <v>0</v>
      </c>
      <c r="K9">
        <v>2</v>
      </c>
      <c r="L9">
        <f t="shared" si="0"/>
        <v>0</v>
      </c>
    </row>
    <row r="10" spans="1:18" x14ac:dyDescent="0.25">
      <c r="A10" s="22">
        <v>1</v>
      </c>
      <c r="B10" s="22">
        <v>3</v>
      </c>
      <c r="C10" s="22">
        <v>192</v>
      </c>
      <c r="D10" s="23" t="s">
        <v>147</v>
      </c>
      <c r="E10" s="22">
        <v>40</v>
      </c>
      <c r="I10" s="22">
        <v>9</v>
      </c>
      <c r="J10" s="22">
        <v>2</v>
      </c>
      <c r="K10" s="22">
        <v>3</v>
      </c>
      <c r="L10">
        <f t="shared" si="0"/>
        <v>0.66666666666666663</v>
      </c>
    </row>
    <row r="11" spans="1:18" x14ac:dyDescent="0.25">
      <c r="A11" s="22">
        <v>1</v>
      </c>
      <c r="B11" s="22">
        <v>3</v>
      </c>
      <c r="C11" s="22" t="s">
        <v>145</v>
      </c>
      <c r="D11" s="23" t="s">
        <v>148</v>
      </c>
      <c r="E11" s="22">
        <v>1</v>
      </c>
      <c r="I11">
        <v>10</v>
      </c>
      <c r="J11">
        <v>1</v>
      </c>
      <c r="K11">
        <v>2</v>
      </c>
      <c r="L11">
        <f t="shared" si="0"/>
        <v>0.5</v>
      </c>
    </row>
    <row r="12" spans="1:18" x14ac:dyDescent="0.25">
      <c r="A12" s="22">
        <v>1</v>
      </c>
      <c r="B12" s="22">
        <v>4</v>
      </c>
      <c r="C12" s="22">
        <v>44</v>
      </c>
      <c r="D12" s="23" t="s">
        <v>149</v>
      </c>
      <c r="E12" s="22">
        <v>100</v>
      </c>
      <c r="F12" s="22">
        <v>1</v>
      </c>
      <c r="G12" s="22">
        <v>1</v>
      </c>
      <c r="I12">
        <v>11</v>
      </c>
      <c r="J12">
        <v>2</v>
      </c>
      <c r="K12">
        <v>2</v>
      </c>
      <c r="L12">
        <f t="shared" si="0"/>
        <v>1</v>
      </c>
    </row>
    <row r="13" spans="1:18" x14ac:dyDescent="0.25">
      <c r="A13" s="22">
        <v>1</v>
      </c>
      <c r="B13" s="22">
        <v>4</v>
      </c>
      <c r="C13" s="22">
        <v>192</v>
      </c>
      <c r="D13" s="23" t="s">
        <v>147</v>
      </c>
      <c r="E13" s="22">
        <v>20</v>
      </c>
      <c r="I13" s="22">
        <v>12</v>
      </c>
      <c r="J13" s="22">
        <v>3</v>
      </c>
      <c r="K13" s="22">
        <v>3</v>
      </c>
      <c r="L13">
        <f t="shared" si="0"/>
        <v>1</v>
      </c>
    </row>
    <row r="14" spans="1:18" x14ac:dyDescent="0.25">
      <c r="A14" s="24">
        <v>1</v>
      </c>
      <c r="B14" s="24">
        <v>4</v>
      </c>
      <c r="C14" s="24" t="s">
        <v>145</v>
      </c>
      <c r="D14" s="25" t="s">
        <v>148</v>
      </c>
      <c r="E14" s="26">
        <v>1</v>
      </c>
      <c r="I14">
        <v>13</v>
      </c>
      <c r="J14">
        <v>1</v>
      </c>
      <c r="K14">
        <v>3</v>
      </c>
      <c r="L14">
        <f t="shared" si="0"/>
        <v>0.33333333333333331</v>
      </c>
    </row>
    <row r="15" spans="1:18" x14ac:dyDescent="0.25">
      <c r="A15" s="22">
        <v>2</v>
      </c>
      <c r="B15" s="22">
        <v>1</v>
      </c>
      <c r="C15" s="22" t="s">
        <v>145</v>
      </c>
      <c r="D15" s="23" t="s">
        <v>146</v>
      </c>
      <c r="E15" s="22">
        <v>98</v>
      </c>
      <c r="F15" s="22">
        <v>1</v>
      </c>
      <c r="G15" s="22">
        <v>1</v>
      </c>
      <c r="I15">
        <v>14</v>
      </c>
      <c r="J15">
        <v>1</v>
      </c>
      <c r="K15">
        <v>2</v>
      </c>
      <c r="L15">
        <f t="shared" si="0"/>
        <v>0.5</v>
      </c>
    </row>
    <row r="16" spans="1:18" x14ac:dyDescent="0.25">
      <c r="A16" s="22">
        <v>2</v>
      </c>
      <c r="B16" s="22">
        <v>1</v>
      </c>
      <c r="C16" s="22">
        <v>192</v>
      </c>
      <c r="D16" s="23" t="s">
        <v>147</v>
      </c>
      <c r="E16" s="22">
        <v>75</v>
      </c>
      <c r="I16" s="22">
        <v>15</v>
      </c>
      <c r="J16" s="22">
        <v>3</v>
      </c>
      <c r="K16" s="22">
        <v>4</v>
      </c>
      <c r="L16">
        <f t="shared" si="0"/>
        <v>0.75</v>
      </c>
    </row>
    <row r="17" spans="1:13" x14ac:dyDescent="0.25">
      <c r="A17" s="22">
        <v>2</v>
      </c>
      <c r="B17" s="22">
        <v>1</v>
      </c>
      <c r="C17" s="22">
        <v>44</v>
      </c>
      <c r="D17" s="23" t="s">
        <v>148</v>
      </c>
      <c r="E17" s="22">
        <v>1</v>
      </c>
      <c r="I17">
        <v>16</v>
      </c>
      <c r="J17">
        <v>2</v>
      </c>
      <c r="K17">
        <v>3</v>
      </c>
      <c r="L17">
        <f t="shared" si="0"/>
        <v>0.66666666666666663</v>
      </c>
    </row>
    <row r="18" spans="1:13" x14ac:dyDescent="0.25">
      <c r="A18" s="22">
        <v>2</v>
      </c>
      <c r="B18" s="22">
        <v>4</v>
      </c>
      <c r="C18" s="22" t="s">
        <v>145</v>
      </c>
      <c r="D18" s="23" t="s">
        <v>146</v>
      </c>
      <c r="E18" s="22">
        <v>98</v>
      </c>
      <c r="F18" s="22">
        <v>0</v>
      </c>
      <c r="G18" s="22">
        <v>1</v>
      </c>
      <c r="I18">
        <v>17</v>
      </c>
      <c r="J18">
        <v>2</v>
      </c>
      <c r="K18">
        <v>3</v>
      </c>
      <c r="L18">
        <f t="shared" si="0"/>
        <v>0.66666666666666663</v>
      </c>
    </row>
    <row r="19" spans="1:13" x14ac:dyDescent="0.25">
      <c r="A19" s="22">
        <v>2</v>
      </c>
      <c r="B19" s="22">
        <v>4</v>
      </c>
      <c r="C19" s="22">
        <v>44</v>
      </c>
      <c r="D19" s="23" t="s">
        <v>147</v>
      </c>
      <c r="E19" s="22">
        <v>75</v>
      </c>
      <c r="I19" s="22">
        <v>18</v>
      </c>
      <c r="J19" s="22">
        <v>2</v>
      </c>
      <c r="K19" s="22">
        <v>2</v>
      </c>
      <c r="L19">
        <f t="shared" si="0"/>
        <v>1</v>
      </c>
    </row>
    <row r="20" spans="1:13" x14ac:dyDescent="0.25">
      <c r="A20" s="24">
        <v>2</v>
      </c>
      <c r="B20" s="24">
        <v>4</v>
      </c>
      <c r="C20" s="24">
        <v>192</v>
      </c>
      <c r="D20" s="25" t="s">
        <v>148</v>
      </c>
      <c r="E20" s="24">
        <v>1</v>
      </c>
      <c r="I20">
        <v>19</v>
      </c>
      <c r="J20">
        <v>0</v>
      </c>
      <c r="K20">
        <v>3</v>
      </c>
      <c r="L20">
        <f t="shared" si="0"/>
        <v>0</v>
      </c>
    </row>
    <row r="21" spans="1:13" x14ac:dyDescent="0.25">
      <c r="A21" s="27">
        <v>4</v>
      </c>
      <c r="B21" s="22">
        <v>4</v>
      </c>
      <c r="C21">
        <v>192</v>
      </c>
      <c r="D21" s="23" t="s">
        <v>149</v>
      </c>
      <c r="E21" s="27">
        <v>100</v>
      </c>
      <c r="F21" s="27">
        <v>0</v>
      </c>
      <c r="G21" s="27">
        <v>1</v>
      </c>
      <c r="I21">
        <v>20</v>
      </c>
      <c r="J21">
        <v>1</v>
      </c>
      <c r="K21">
        <v>4</v>
      </c>
      <c r="L21">
        <f t="shared" si="0"/>
        <v>0.25</v>
      </c>
    </row>
    <row r="22" spans="1:13" x14ac:dyDescent="0.25">
      <c r="A22" s="27">
        <v>4</v>
      </c>
      <c r="B22" s="22">
        <v>4</v>
      </c>
      <c r="C22">
        <v>44</v>
      </c>
      <c r="D22" s="23" t="s">
        <v>146</v>
      </c>
      <c r="E22" s="27">
        <v>70</v>
      </c>
      <c r="I22" s="22">
        <v>21</v>
      </c>
      <c r="J22" s="22">
        <v>1</v>
      </c>
      <c r="K22" s="22">
        <v>2</v>
      </c>
      <c r="L22">
        <f t="shared" si="0"/>
        <v>0.5</v>
      </c>
    </row>
    <row r="23" spans="1:13" x14ac:dyDescent="0.25">
      <c r="A23" s="28">
        <v>4</v>
      </c>
      <c r="B23" s="24">
        <v>4</v>
      </c>
      <c r="C23" s="26" t="s">
        <v>145</v>
      </c>
      <c r="D23" s="25" t="s">
        <v>148</v>
      </c>
      <c r="E23" s="26">
        <v>1</v>
      </c>
      <c r="I23">
        <v>22</v>
      </c>
      <c r="J23">
        <v>2</v>
      </c>
      <c r="K23">
        <v>3</v>
      </c>
      <c r="L23">
        <f t="shared" si="0"/>
        <v>0.66666666666666663</v>
      </c>
    </row>
    <row r="24" spans="1:13" x14ac:dyDescent="0.25">
      <c r="A24" s="27">
        <v>5</v>
      </c>
      <c r="B24" s="22">
        <v>1</v>
      </c>
      <c r="C24" s="29">
        <v>44</v>
      </c>
      <c r="D24" s="23" t="s">
        <v>149</v>
      </c>
      <c r="E24" s="27">
        <v>100</v>
      </c>
      <c r="F24" s="27">
        <v>1</v>
      </c>
      <c r="G24" s="27">
        <v>1</v>
      </c>
      <c r="I24">
        <v>23</v>
      </c>
      <c r="J24">
        <v>1</v>
      </c>
      <c r="K24">
        <v>1</v>
      </c>
      <c r="L24">
        <f t="shared" si="0"/>
        <v>1</v>
      </c>
    </row>
    <row r="25" spans="1:13" x14ac:dyDescent="0.25">
      <c r="A25" s="27">
        <v>5</v>
      </c>
      <c r="B25" s="22">
        <v>1</v>
      </c>
      <c r="C25" s="29">
        <v>192</v>
      </c>
      <c r="D25" s="23" t="s">
        <v>146</v>
      </c>
      <c r="E25" s="27">
        <v>60</v>
      </c>
      <c r="I25" s="27">
        <v>24</v>
      </c>
      <c r="J25" s="27">
        <v>1</v>
      </c>
      <c r="K25" s="27">
        <v>1</v>
      </c>
      <c r="L25">
        <f t="shared" si="0"/>
        <v>1</v>
      </c>
    </row>
    <row r="26" spans="1:13" x14ac:dyDescent="0.25">
      <c r="A26" s="27">
        <v>5</v>
      </c>
      <c r="B26" s="22">
        <v>1</v>
      </c>
      <c r="C26" t="s">
        <v>145</v>
      </c>
      <c r="D26" s="23" t="s">
        <v>148</v>
      </c>
      <c r="E26" s="27">
        <v>1</v>
      </c>
      <c r="I26">
        <v>25</v>
      </c>
      <c r="J26">
        <v>1</v>
      </c>
      <c r="K26">
        <v>3</v>
      </c>
      <c r="L26">
        <f t="shared" si="0"/>
        <v>0.33333333333333331</v>
      </c>
    </row>
    <row r="27" spans="1:13" x14ac:dyDescent="0.25">
      <c r="A27" s="27">
        <v>5</v>
      </c>
      <c r="B27" s="22">
        <v>2</v>
      </c>
      <c r="C27" t="s">
        <v>145</v>
      </c>
      <c r="D27" s="23" t="s">
        <v>149</v>
      </c>
      <c r="E27" s="27">
        <v>100</v>
      </c>
      <c r="F27" s="27">
        <v>0</v>
      </c>
      <c r="G27" s="27">
        <v>1</v>
      </c>
      <c r="H27" s="27"/>
      <c r="J27">
        <f>SUM(J3:J26)</f>
        <v>34</v>
      </c>
      <c r="K27">
        <f>SUM(K3:K26)</f>
        <v>61</v>
      </c>
      <c r="L27">
        <f>AVERAGE(L3:L26)</f>
        <v>0.56249999999999989</v>
      </c>
      <c r="M27" t="s">
        <v>153</v>
      </c>
    </row>
    <row r="28" spans="1:13" x14ac:dyDescent="0.25">
      <c r="A28" s="27">
        <v>5</v>
      </c>
      <c r="B28" s="22">
        <v>2</v>
      </c>
      <c r="C28">
        <v>44</v>
      </c>
      <c r="D28" s="23" t="s">
        <v>147</v>
      </c>
      <c r="E28" s="27">
        <v>60</v>
      </c>
      <c r="I28" s="27"/>
      <c r="L28">
        <f>_xlfn.STDEV.S(L3:L26)</f>
        <v>0.32991910880924735</v>
      </c>
      <c r="M28" t="s">
        <v>151</v>
      </c>
    </row>
    <row r="29" spans="1:13" x14ac:dyDescent="0.25">
      <c r="A29" s="27">
        <v>5</v>
      </c>
      <c r="B29" s="22">
        <v>2</v>
      </c>
      <c r="C29">
        <v>192</v>
      </c>
      <c r="D29" s="23" t="s">
        <v>148</v>
      </c>
      <c r="E29" s="27">
        <v>1</v>
      </c>
      <c r="L29">
        <f>L28/SQRT(24)</f>
        <v>6.7344456081368229E-2</v>
      </c>
    </row>
    <row r="30" spans="1:13" x14ac:dyDescent="0.25">
      <c r="A30" s="27">
        <v>5</v>
      </c>
      <c r="B30" s="22">
        <v>4</v>
      </c>
      <c r="C30" t="s">
        <v>145</v>
      </c>
      <c r="D30" s="23" t="s">
        <v>149</v>
      </c>
      <c r="E30" s="27">
        <v>100</v>
      </c>
      <c r="F30" s="27">
        <v>0</v>
      </c>
      <c r="G30" s="27">
        <v>1</v>
      </c>
      <c r="H30" s="27"/>
    </row>
    <row r="31" spans="1:13" x14ac:dyDescent="0.25">
      <c r="A31" s="27">
        <v>5</v>
      </c>
      <c r="B31" s="22">
        <v>4</v>
      </c>
      <c r="C31">
        <v>44</v>
      </c>
      <c r="D31" s="23" t="s">
        <v>146</v>
      </c>
      <c r="E31" s="27">
        <v>75</v>
      </c>
    </row>
    <row r="32" spans="1:13" x14ac:dyDescent="0.25">
      <c r="A32" s="28">
        <v>5</v>
      </c>
      <c r="B32" s="24">
        <v>4</v>
      </c>
      <c r="C32" s="26">
        <v>192</v>
      </c>
      <c r="D32" s="25" t="s">
        <v>148</v>
      </c>
      <c r="E32" s="26">
        <v>1</v>
      </c>
    </row>
    <row r="33" spans="1:8" x14ac:dyDescent="0.25">
      <c r="A33" s="27">
        <v>6</v>
      </c>
      <c r="B33" s="22">
        <v>2</v>
      </c>
      <c r="C33">
        <v>192</v>
      </c>
      <c r="D33" s="23" t="s">
        <v>146</v>
      </c>
      <c r="E33" s="27">
        <v>50</v>
      </c>
      <c r="F33" s="27">
        <v>0</v>
      </c>
      <c r="G33" s="27">
        <v>1</v>
      </c>
      <c r="H33" s="27"/>
    </row>
    <row r="34" spans="1:8" x14ac:dyDescent="0.25">
      <c r="A34" s="27">
        <v>6</v>
      </c>
      <c r="B34" s="22">
        <v>2</v>
      </c>
      <c r="C34">
        <v>44</v>
      </c>
      <c r="D34" s="23" t="s">
        <v>147</v>
      </c>
      <c r="E34" s="27">
        <v>20</v>
      </c>
    </row>
    <row r="35" spans="1:8" x14ac:dyDescent="0.25">
      <c r="A35" s="27">
        <v>6</v>
      </c>
      <c r="B35" s="22">
        <v>2</v>
      </c>
      <c r="C35" t="s">
        <v>145</v>
      </c>
      <c r="D35" s="23" t="s">
        <v>148</v>
      </c>
      <c r="E35" s="27">
        <v>1</v>
      </c>
    </row>
    <row r="36" spans="1:8" x14ac:dyDescent="0.25">
      <c r="A36" s="27">
        <v>6</v>
      </c>
      <c r="B36" s="22">
        <v>4</v>
      </c>
      <c r="C36" t="s">
        <v>145</v>
      </c>
      <c r="D36" s="23" t="s">
        <v>146</v>
      </c>
      <c r="E36" s="27">
        <v>90</v>
      </c>
      <c r="F36" s="27">
        <v>1</v>
      </c>
      <c r="G36" s="27">
        <v>1</v>
      </c>
      <c r="H36" s="27"/>
    </row>
    <row r="37" spans="1:8" x14ac:dyDescent="0.25">
      <c r="A37" s="27">
        <v>6</v>
      </c>
      <c r="B37" s="22">
        <v>4</v>
      </c>
      <c r="C37">
        <v>192</v>
      </c>
      <c r="D37" s="23" t="s">
        <v>147</v>
      </c>
      <c r="E37" s="27">
        <v>20</v>
      </c>
    </row>
    <row r="38" spans="1:8" x14ac:dyDescent="0.25">
      <c r="A38" s="28">
        <v>6</v>
      </c>
      <c r="B38" s="24">
        <v>4</v>
      </c>
      <c r="C38" s="26">
        <v>44</v>
      </c>
      <c r="D38" s="25" t="s">
        <v>148</v>
      </c>
      <c r="E38" s="26">
        <v>1</v>
      </c>
    </row>
    <row r="39" spans="1:8" x14ac:dyDescent="0.25">
      <c r="A39" s="27">
        <v>7</v>
      </c>
      <c r="B39" s="22">
        <v>1</v>
      </c>
      <c r="C39" s="29">
        <v>192</v>
      </c>
      <c r="D39" s="23" t="s">
        <v>149</v>
      </c>
      <c r="E39" s="27">
        <v>100</v>
      </c>
      <c r="F39" s="27">
        <v>0</v>
      </c>
      <c r="G39" s="22">
        <v>1</v>
      </c>
      <c r="H39" s="22"/>
    </row>
    <row r="40" spans="1:8" x14ac:dyDescent="0.25">
      <c r="A40" s="27">
        <v>7</v>
      </c>
      <c r="B40" s="22">
        <v>1</v>
      </c>
      <c r="C40" s="29">
        <v>44</v>
      </c>
      <c r="D40" s="23" t="s">
        <v>147</v>
      </c>
      <c r="E40" s="27">
        <v>20</v>
      </c>
    </row>
    <row r="41" spans="1:8" x14ac:dyDescent="0.25">
      <c r="A41" s="27">
        <v>7</v>
      </c>
      <c r="B41" s="22">
        <v>1</v>
      </c>
      <c r="C41" t="s">
        <v>145</v>
      </c>
      <c r="D41" s="23" t="s">
        <v>148</v>
      </c>
      <c r="E41" s="27">
        <v>1</v>
      </c>
    </row>
    <row r="42" spans="1:8" x14ac:dyDescent="0.25">
      <c r="A42" s="27">
        <v>7</v>
      </c>
      <c r="B42" s="22">
        <v>3</v>
      </c>
      <c r="C42">
        <v>192</v>
      </c>
      <c r="D42" s="23" t="s">
        <v>149</v>
      </c>
      <c r="E42" s="27">
        <v>100</v>
      </c>
      <c r="F42" s="27">
        <v>0</v>
      </c>
      <c r="G42" s="27">
        <v>1</v>
      </c>
      <c r="H42" s="27"/>
    </row>
    <row r="43" spans="1:8" x14ac:dyDescent="0.25">
      <c r="A43" s="27">
        <v>7</v>
      </c>
      <c r="B43" s="22">
        <v>3</v>
      </c>
      <c r="C43">
        <v>44</v>
      </c>
      <c r="D43" s="23" t="s">
        <v>146</v>
      </c>
      <c r="E43" s="27">
        <v>80</v>
      </c>
    </row>
    <row r="44" spans="1:8" x14ac:dyDescent="0.25">
      <c r="A44" s="27">
        <v>7</v>
      </c>
      <c r="B44" s="22">
        <v>3</v>
      </c>
      <c r="C44" t="s">
        <v>145</v>
      </c>
      <c r="D44" s="23" t="s">
        <v>147</v>
      </c>
      <c r="E44" s="27">
        <v>50</v>
      </c>
    </row>
    <row r="45" spans="1:8" x14ac:dyDescent="0.25">
      <c r="A45" s="27">
        <v>7</v>
      </c>
      <c r="B45" s="22">
        <v>4</v>
      </c>
      <c r="C45">
        <v>44</v>
      </c>
      <c r="D45" s="23" t="s">
        <v>149</v>
      </c>
      <c r="E45" s="27">
        <v>100</v>
      </c>
      <c r="F45" s="27">
        <v>1</v>
      </c>
      <c r="G45" s="27">
        <v>1</v>
      </c>
      <c r="H45" s="27"/>
    </row>
    <row r="46" spans="1:8" x14ac:dyDescent="0.25">
      <c r="A46" s="27">
        <v>7</v>
      </c>
      <c r="B46" s="22">
        <v>4</v>
      </c>
      <c r="C46">
        <v>192</v>
      </c>
      <c r="D46" s="23" t="s">
        <v>146</v>
      </c>
      <c r="E46" s="27">
        <v>75</v>
      </c>
    </row>
    <row r="47" spans="1:8" x14ac:dyDescent="0.25">
      <c r="A47" s="28">
        <v>7</v>
      </c>
      <c r="B47" s="24">
        <v>4</v>
      </c>
      <c r="C47" s="26" t="s">
        <v>145</v>
      </c>
      <c r="D47" s="25" t="s">
        <v>148</v>
      </c>
      <c r="E47" s="26">
        <v>1</v>
      </c>
    </row>
    <row r="48" spans="1:8" x14ac:dyDescent="0.25">
      <c r="A48" s="27">
        <v>8</v>
      </c>
      <c r="B48" s="22">
        <v>2</v>
      </c>
      <c r="C48" t="s">
        <v>145</v>
      </c>
      <c r="D48" s="23" t="s">
        <v>149</v>
      </c>
      <c r="E48" s="27">
        <v>100</v>
      </c>
      <c r="F48" s="27">
        <v>0</v>
      </c>
      <c r="G48" s="27">
        <v>1</v>
      </c>
      <c r="H48" s="27"/>
    </row>
    <row r="49" spans="1:8" x14ac:dyDescent="0.25">
      <c r="A49" s="27">
        <v>8</v>
      </c>
      <c r="B49" s="22">
        <v>2</v>
      </c>
      <c r="C49">
        <v>44</v>
      </c>
      <c r="D49" s="23" t="s">
        <v>146</v>
      </c>
      <c r="E49" s="27">
        <v>80</v>
      </c>
    </row>
    <row r="50" spans="1:8" x14ac:dyDescent="0.25">
      <c r="A50" s="27">
        <v>8</v>
      </c>
      <c r="B50" s="22">
        <v>2</v>
      </c>
      <c r="C50">
        <v>192</v>
      </c>
      <c r="D50" s="23" t="s">
        <v>148</v>
      </c>
      <c r="E50" s="27">
        <v>1</v>
      </c>
    </row>
    <row r="51" spans="1:8" x14ac:dyDescent="0.25">
      <c r="A51" s="27">
        <v>8</v>
      </c>
      <c r="B51" s="22">
        <v>4</v>
      </c>
      <c r="C51" t="s">
        <v>145</v>
      </c>
      <c r="D51" s="23" t="s">
        <v>149</v>
      </c>
      <c r="E51" s="27">
        <v>100</v>
      </c>
      <c r="F51" s="27">
        <v>0</v>
      </c>
      <c r="G51" s="27">
        <v>1</v>
      </c>
      <c r="H51" s="27"/>
    </row>
    <row r="52" spans="1:8" x14ac:dyDescent="0.25">
      <c r="A52" s="27">
        <v>8</v>
      </c>
      <c r="B52" s="22">
        <v>4</v>
      </c>
      <c r="C52">
        <v>44</v>
      </c>
      <c r="D52" s="23" t="s">
        <v>147</v>
      </c>
      <c r="E52" s="27">
        <v>10</v>
      </c>
    </row>
    <row r="53" spans="1:8" x14ac:dyDescent="0.25">
      <c r="A53" s="28">
        <v>8</v>
      </c>
      <c r="B53" s="24">
        <v>4</v>
      </c>
      <c r="C53" s="26">
        <v>192</v>
      </c>
      <c r="D53" s="25" t="s">
        <v>148</v>
      </c>
      <c r="E53" s="26">
        <v>1</v>
      </c>
    </row>
    <row r="54" spans="1:8" x14ac:dyDescent="0.25">
      <c r="A54" s="27">
        <v>9</v>
      </c>
      <c r="B54" s="22">
        <v>2</v>
      </c>
      <c r="C54" t="s">
        <v>145</v>
      </c>
      <c r="D54" s="23" t="s">
        <v>149</v>
      </c>
      <c r="E54" s="27">
        <v>100</v>
      </c>
      <c r="F54" s="27">
        <v>1</v>
      </c>
      <c r="G54" s="27">
        <v>1</v>
      </c>
      <c r="H54" s="27"/>
    </row>
    <row r="55" spans="1:8" x14ac:dyDescent="0.25">
      <c r="A55" s="27">
        <v>9</v>
      </c>
      <c r="B55" s="22">
        <v>2</v>
      </c>
      <c r="C55">
        <v>192</v>
      </c>
      <c r="D55" s="23" t="s">
        <v>146</v>
      </c>
      <c r="E55" s="27">
        <v>95</v>
      </c>
    </row>
    <row r="56" spans="1:8" x14ac:dyDescent="0.25">
      <c r="A56" s="27">
        <v>9</v>
      </c>
      <c r="B56" s="22">
        <v>2</v>
      </c>
      <c r="C56">
        <v>44</v>
      </c>
      <c r="D56" s="23" t="s">
        <v>147</v>
      </c>
      <c r="E56" s="27">
        <v>90</v>
      </c>
    </row>
    <row r="57" spans="1:8" x14ac:dyDescent="0.25">
      <c r="A57" s="27">
        <v>9</v>
      </c>
      <c r="B57" s="22">
        <v>3</v>
      </c>
      <c r="C57">
        <v>192</v>
      </c>
      <c r="D57" s="23" t="s">
        <v>149</v>
      </c>
      <c r="E57" s="27">
        <v>100</v>
      </c>
      <c r="F57" s="27">
        <v>0</v>
      </c>
      <c r="G57" s="27">
        <v>1</v>
      </c>
      <c r="H57" s="27"/>
    </row>
    <row r="58" spans="1:8" x14ac:dyDescent="0.25">
      <c r="A58" s="27">
        <v>9</v>
      </c>
      <c r="B58" s="22">
        <v>3</v>
      </c>
      <c r="C58">
        <v>44</v>
      </c>
      <c r="D58" s="23" t="s">
        <v>147</v>
      </c>
      <c r="E58" s="27">
        <v>70</v>
      </c>
    </row>
    <row r="59" spans="1:8" x14ac:dyDescent="0.25">
      <c r="A59" s="27">
        <v>9</v>
      </c>
      <c r="B59" s="22">
        <v>3</v>
      </c>
      <c r="C59" t="s">
        <v>145</v>
      </c>
      <c r="D59" s="23" t="s">
        <v>148</v>
      </c>
      <c r="E59" s="27">
        <v>1</v>
      </c>
    </row>
    <row r="60" spans="1:8" x14ac:dyDescent="0.25">
      <c r="A60" s="27">
        <v>9</v>
      </c>
      <c r="B60" s="22">
        <v>4</v>
      </c>
      <c r="C60" t="s">
        <v>145</v>
      </c>
      <c r="D60" s="23" t="s">
        <v>149</v>
      </c>
      <c r="E60" s="27">
        <v>100</v>
      </c>
      <c r="F60" s="27">
        <v>1</v>
      </c>
      <c r="G60" s="22">
        <v>1</v>
      </c>
      <c r="H60" s="22"/>
    </row>
    <row r="61" spans="1:8" x14ac:dyDescent="0.25">
      <c r="A61" s="27">
        <v>9</v>
      </c>
      <c r="B61" s="22">
        <v>4</v>
      </c>
      <c r="C61">
        <v>192</v>
      </c>
      <c r="D61" s="23" t="s">
        <v>147</v>
      </c>
      <c r="E61" s="27">
        <v>80</v>
      </c>
    </row>
    <row r="62" spans="1:8" x14ac:dyDescent="0.25">
      <c r="A62" s="28">
        <v>9</v>
      </c>
      <c r="B62" s="24">
        <v>4</v>
      </c>
      <c r="C62" s="26">
        <v>44</v>
      </c>
      <c r="D62" s="25" t="s">
        <v>148</v>
      </c>
      <c r="E62" s="26">
        <v>1</v>
      </c>
    </row>
    <row r="63" spans="1:8" x14ac:dyDescent="0.25">
      <c r="A63" s="27">
        <v>10</v>
      </c>
      <c r="B63" s="22">
        <v>1</v>
      </c>
      <c r="C63" s="29">
        <v>44</v>
      </c>
      <c r="D63" s="23" t="s">
        <v>149</v>
      </c>
      <c r="E63" s="27">
        <v>100</v>
      </c>
      <c r="F63" s="27">
        <v>1</v>
      </c>
      <c r="G63" s="27">
        <v>1</v>
      </c>
      <c r="H63" s="27"/>
    </row>
    <row r="64" spans="1:8" x14ac:dyDescent="0.25">
      <c r="A64" s="27">
        <v>10</v>
      </c>
      <c r="B64" s="22">
        <v>1</v>
      </c>
      <c r="C64" s="29">
        <v>192</v>
      </c>
      <c r="D64" s="23" t="s">
        <v>147</v>
      </c>
      <c r="E64" s="27">
        <v>40</v>
      </c>
    </row>
    <row r="65" spans="1:8" x14ac:dyDescent="0.25">
      <c r="A65" s="27">
        <v>10</v>
      </c>
      <c r="B65" s="22">
        <v>1</v>
      </c>
      <c r="C65" t="s">
        <v>145</v>
      </c>
      <c r="D65" s="23" t="s">
        <v>148</v>
      </c>
      <c r="E65" s="27">
        <v>1</v>
      </c>
    </row>
    <row r="66" spans="1:8" x14ac:dyDescent="0.25">
      <c r="A66" s="27">
        <v>10</v>
      </c>
      <c r="B66" s="22">
        <v>2</v>
      </c>
      <c r="C66" t="s">
        <v>145</v>
      </c>
      <c r="D66" s="23" t="s">
        <v>149</v>
      </c>
      <c r="E66" s="27">
        <v>100</v>
      </c>
      <c r="F66" s="27">
        <v>0</v>
      </c>
      <c r="G66" s="27">
        <v>1</v>
      </c>
      <c r="H66" s="27"/>
    </row>
    <row r="67" spans="1:8" x14ac:dyDescent="0.25">
      <c r="A67" s="27">
        <v>10</v>
      </c>
      <c r="B67" s="22">
        <v>2</v>
      </c>
      <c r="C67">
        <v>44</v>
      </c>
      <c r="D67" s="23" t="s">
        <v>147</v>
      </c>
      <c r="E67" s="27">
        <v>30</v>
      </c>
    </row>
    <row r="68" spans="1:8" x14ac:dyDescent="0.25">
      <c r="A68" s="27">
        <v>10</v>
      </c>
      <c r="B68" s="22">
        <v>2</v>
      </c>
      <c r="C68">
        <v>192</v>
      </c>
      <c r="D68" s="23" t="s">
        <v>148</v>
      </c>
      <c r="E68" s="27">
        <v>1</v>
      </c>
    </row>
    <row r="69" spans="1:8" x14ac:dyDescent="0.25">
      <c r="A69" s="27">
        <v>11</v>
      </c>
      <c r="B69" s="22">
        <v>1</v>
      </c>
      <c r="C69" s="29">
        <v>44</v>
      </c>
      <c r="D69" s="23" t="s">
        <v>149</v>
      </c>
      <c r="E69" s="27">
        <v>100</v>
      </c>
      <c r="F69" s="27">
        <v>1</v>
      </c>
      <c r="G69" s="27">
        <v>1</v>
      </c>
      <c r="H69" s="27"/>
    </row>
    <row r="70" spans="1:8" x14ac:dyDescent="0.25">
      <c r="A70" s="27">
        <v>11</v>
      </c>
      <c r="B70" s="22">
        <v>1</v>
      </c>
      <c r="C70" s="29">
        <v>192</v>
      </c>
      <c r="D70" s="23" t="s">
        <v>147</v>
      </c>
      <c r="E70" s="27">
        <v>80</v>
      </c>
    </row>
    <row r="71" spans="1:8" x14ac:dyDescent="0.25">
      <c r="A71" s="27">
        <v>11</v>
      </c>
      <c r="B71" s="22">
        <v>1</v>
      </c>
      <c r="C71" t="s">
        <v>145</v>
      </c>
      <c r="D71" s="23" t="s">
        <v>148</v>
      </c>
      <c r="E71" s="27">
        <v>1</v>
      </c>
    </row>
    <row r="72" spans="1:8" x14ac:dyDescent="0.25">
      <c r="A72" s="27">
        <v>11</v>
      </c>
      <c r="B72" s="22">
        <v>2</v>
      </c>
      <c r="C72" t="s">
        <v>145</v>
      </c>
      <c r="D72" s="23" t="s">
        <v>149</v>
      </c>
      <c r="E72" s="27">
        <v>100</v>
      </c>
      <c r="F72" s="27">
        <v>1</v>
      </c>
      <c r="G72" s="27">
        <v>1</v>
      </c>
      <c r="H72" s="27"/>
    </row>
    <row r="73" spans="1:8" x14ac:dyDescent="0.25">
      <c r="A73" s="27">
        <v>11</v>
      </c>
      <c r="B73" s="22">
        <v>2</v>
      </c>
      <c r="C73">
        <v>192</v>
      </c>
      <c r="D73" s="23" t="s">
        <v>147</v>
      </c>
      <c r="E73" s="27">
        <v>80</v>
      </c>
    </row>
    <row r="74" spans="1:8" x14ac:dyDescent="0.25">
      <c r="A74" s="27">
        <v>11</v>
      </c>
      <c r="B74" s="22">
        <v>2</v>
      </c>
      <c r="C74">
        <v>44</v>
      </c>
      <c r="D74" s="23" t="s">
        <v>148</v>
      </c>
      <c r="E74" s="27">
        <v>1</v>
      </c>
    </row>
    <row r="75" spans="1:8" x14ac:dyDescent="0.25">
      <c r="A75" s="27">
        <v>12</v>
      </c>
      <c r="B75" s="22">
        <v>1</v>
      </c>
      <c r="C75" s="29">
        <v>44</v>
      </c>
      <c r="D75" s="23" t="s">
        <v>149</v>
      </c>
      <c r="E75" s="27">
        <v>100</v>
      </c>
      <c r="F75" s="27">
        <v>1</v>
      </c>
      <c r="G75" s="27">
        <v>1</v>
      </c>
      <c r="H75" s="27"/>
    </row>
    <row r="76" spans="1:8" x14ac:dyDescent="0.25">
      <c r="A76" s="27">
        <v>12</v>
      </c>
      <c r="B76" s="22">
        <v>1</v>
      </c>
      <c r="C76" s="29">
        <v>192</v>
      </c>
      <c r="D76" s="23" t="s">
        <v>146</v>
      </c>
      <c r="E76" s="27">
        <v>95</v>
      </c>
    </row>
    <row r="77" spans="1:8" x14ac:dyDescent="0.25">
      <c r="A77" s="27">
        <v>12</v>
      </c>
      <c r="B77" s="22">
        <v>1</v>
      </c>
      <c r="C77" t="s">
        <v>145</v>
      </c>
      <c r="D77" s="23" t="s">
        <v>147</v>
      </c>
      <c r="E77" s="27">
        <v>70</v>
      </c>
    </row>
    <row r="78" spans="1:8" x14ac:dyDescent="0.25">
      <c r="A78" s="27">
        <v>12</v>
      </c>
      <c r="B78" s="22">
        <v>3</v>
      </c>
      <c r="C78">
        <v>44</v>
      </c>
      <c r="D78" s="23" t="s">
        <v>149</v>
      </c>
      <c r="E78" s="27">
        <v>100</v>
      </c>
      <c r="F78" s="27">
        <v>1</v>
      </c>
      <c r="G78" s="27">
        <v>1</v>
      </c>
      <c r="H78" s="27"/>
    </row>
    <row r="79" spans="1:8" x14ac:dyDescent="0.25">
      <c r="A79" s="27">
        <v>12</v>
      </c>
      <c r="B79" s="22">
        <v>3</v>
      </c>
      <c r="C79">
        <v>192</v>
      </c>
      <c r="D79" s="23" t="s">
        <v>147</v>
      </c>
      <c r="E79" s="27">
        <v>85</v>
      </c>
    </row>
    <row r="80" spans="1:8" x14ac:dyDescent="0.25">
      <c r="A80" s="27">
        <v>12</v>
      </c>
      <c r="B80" s="22">
        <v>3</v>
      </c>
      <c r="C80" t="s">
        <v>145</v>
      </c>
      <c r="D80" s="23" t="s">
        <v>148</v>
      </c>
      <c r="E80" s="27">
        <v>1</v>
      </c>
    </row>
    <row r="81" spans="1:8" x14ac:dyDescent="0.25">
      <c r="A81" s="27">
        <v>12</v>
      </c>
      <c r="B81" s="22">
        <v>4</v>
      </c>
      <c r="C81" t="s">
        <v>145</v>
      </c>
      <c r="D81" s="23" t="s">
        <v>146</v>
      </c>
      <c r="E81" s="27">
        <v>95</v>
      </c>
      <c r="F81" s="27">
        <v>1</v>
      </c>
      <c r="G81" s="27">
        <v>1</v>
      </c>
      <c r="H81" s="27"/>
    </row>
    <row r="82" spans="1:8" x14ac:dyDescent="0.25">
      <c r="A82" s="27">
        <v>12</v>
      </c>
      <c r="B82" s="22">
        <v>4</v>
      </c>
      <c r="C82">
        <v>192</v>
      </c>
      <c r="D82" s="23" t="s">
        <v>147</v>
      </c>
      <c r="E82" s="27">
        <v>65</v>
      </c>
    </row>
    <row r="83" spans="1:8" x14ac:dyDescent="0.25">
      <c r="A83" s="28">
        <v>12</v>
      </c>
      <c r="B83" s="24">
        <v>4</v>
      </c>
      <c r="C83" s="26">
        <v>44</v>
      </c>
      <c r="D83" s="25" t="s">
        <v>148</v>
      </c>
      <c r="E83" s="26">
        <v>1</v>
      </c>
    </row>
    <row r="84" spans="1:8" x14ac:dyDescent="0.25">
      <c r="A84" s="27">
        <v>13</v>
      </c>
      <c r="B84" s="22">
        <v>2</v>
      </c>
      <c r="C84">
        <v>192</v>
      </c>
      <c r="D84" s="23" t="s">
        <v>149</v>
      </c>
      <c r="E84" s="27">
        <v>100</v>
      </c>
      <c r="F84" s="27">
        <v>0</v>
      </c>
      <c r="G84" s="27">
        <v>1</v>
      </c>
      <c r="H84" s="27"/>
    </row>
    <row r="85" spans="1:8" x14ac:dyDescent="0.25">
      <c r="A85" s="27">
        <v>13</v>
      </c>
      <c r="B85" s="22">
        <v>2</v>
      </c>
      <c r="C85">
        <v>44</v>
      </c>
      <c r="D85" s="23" t="s">
        <v>146</v>
      </c>
      <c r="E85" s="27">
        <v>75</v>
      </c>
    </row>
    <row r="86" spans="1:8" x14ac:dyDescent="0.25">
      <c r="A86" s="27">
        <v>13</v>
      </c>
      <c r="B86" s="22">
        <v>2</v>
      </c>
      <c r="C86" t="s">
        <v>145</v>
      </c>
      <c r="D86" s="23" t="s">
        <v>147</v>
      </c>
      <c r="E86" s="27">
        <v>50</v>
      </c>
    </row>
    <row r="87" spans="1:8" x14ac:dyDescent="0.25">
      <c r="A87" s="27">
        <v>13</v>
      </c>
      <c r="B87" s="22">
        <v>3</v>
      </c>
      <c r="C87" t="s">
        <v>145</v>
      </c>
      <c r="D87" s="23" t="s">
        <v>149</v>
      </c>
      <c r="E87" s="27">
        <v>100</v>
      </c>
      <c r="F87" s="27">
        <v>1</v>
      </c>
      <c r="G87" s="27">
        <v>1</v>
      </c>
      <c r="H87" s="27"/>
    </row>
    <row r="88" spans="1:8" x14ac:dyDescent="0.25">
      <c r="A88" s="27">
        <v>13</v>
      </c>
      <c r="B88" s="22">
        <v>3</v>
      </c>
      <c r="C88">
        <v>192</v>
      </c>
      <c r="D88" s="23" t="s">
        <v>146</v>
      </c>
      <c r="E88" s="27">
        <v>75</v>
      </c>
    </row>
    <row r="89" spans="1:8" x14ac:dyDescent="0.25">
      <c r="A89" s="27">
        <v>13</v>
      </c>
      <c r="B89" s="22">
        <v>3</v>
      </c>
      <c r="C89">
        <v>44</v>
      </c>
      <c r="D89" s="23" t="s">
        <v>147</v>
      </c>
      <c r="E89" s="27">
        <v>40</v>
      </c>
    </row>
    <row r="90" spans="1:8" x14ac:dyDescent="0.25">
      <c r="A90" s="27">
        <v>13</v>
      </c>
      <c r="B90" s="22">
        <v>4</v>
      </c>
      <c r="C90">
        <v>192</v>
      </c>
      <c r="D90" s="23" t="s">
        <v>149</v>
      </c>
      <c r="E90" s="27">
        <v>100</v>
      </c>
      <c r="F90" s="27">
        <v>0</v>
      </c>
      <c r="G90" s="27">
        <v>1</v>
      </c>
      <c r="H90" s="27"/>
    </row>
    <row r="91" spans="1:8" x14ac:dyDescent="0.25">
      <c r="A91" s="27">
        <v>13</v>
      </c>
      <c r="B91" s="22">
        <v>4</v>
      </c>
      <c r="C91">
        <v>44</v>
      </c>
      <c r="D91" s="23" t="s">
        <v>146</v>
      </c>
      <c r="E91" s="27">
        <v>75</v>
      </c>
    </row>
    <row r="92" spans="1:8" x14ac:dyDescent="0.25">
      <c r="A92" s="28">
        <v>13</v>
      </c>
      <c r="B92" s="24">
        <v>4</v>
      </c>
      <c r="C92" s="26" t="s">
        <v>145</v>
      </c>
      <c r="D92" s="25" t="s">
        <v>148</v>
      </c>
      <c r="E92" s="26">
        <v>1</v>
      </c>
    </row>
    <row r="93" spans="1:8" x14ac:dyDescent="0.25">
      <c r="A93" s="27">
        <v>14</v>
      </c>
      <c r="B93" s="22">
        <v>3</v>
      </c>
      <c r="C93" t="s">
        <v>145</v>
      </c>
      <c r="D93" s="23" t="s">
        <v>149</v>
      </c>
      <c r="E93" s="27">
        <v>100</v>
      </c>
      <c r="F93" s="27">
        <v>0</v>
      </c>
      <c r="G93" s="27">
        <v>1</v>
      </c>
      <c r="H93" s="27"/>
    </row>
    <row r="94" spans="1:8" x14ac:dyDescent="0.25">
      <c r="A94" s="27">
        <v>14</v>
      </c>
      <c r="B94" s="22">
        <v>3</v>
      </c>
      <c r="C94">
        <v>44</v>
      </c>
      <c r="D94" s="23" t="s">
        <v>146</v>
      </c>
      <c r="E94" s="27">
        <v>98</v>
      </c>
    </row>
    <row r="95" spans="1:8" x14ac:dyDescent="0.25">
      <c r="A95" s="27">
        <v>14</v>
      </c>
      <c r="B95" s="22">
        <v>3</v>
      </c>
      <c r="C95">
        <v>192</v>
      </c>
      <c r="D95" s="23" t="s">
        <v>147</v>
      </c>
      <c r="E95" s="27">
        <v>97</v>
      </c>
    </row>
    <row r="96" spans="1:8" x14ac:dyDescent="0.25">
      <c r="A96" s="27">
        <v>14</v>
      </c>
      <c r="B96" s="22">
        <v>4</v>
      </c>
      <c r="C96" t="s">
        <v>145</v>
      </c>
      <c r="D96" s="23" t="s">
        <v>146</v>
      </c>
      <c r="E96" s="27">
        <v>98</v>
      </c>
      <c r="F96" s="27">
        <v>1</v>
      </c>
      <c r="G96" s="27">
        <v>1</v>
      </c>
      <c r="H96" s="27"/>
    </row>
    <row r="97" spans="1:8" x14ac:dyDescent="0.25">
      <c r="A97" s="27">
        <v>14</v>
      </c>
      <c r="B97" s="22">
        <v>4</v>
      </c>
      <c r="C97">
        <v>192</v>
      </c>
      <c r="D97" s="23" t="s">
        <v>147</v>
      </c>
      <c r="E97" s="27">
        <v>96</v>
      </c>
    </row>
    <row r="98" spans="1:8" x14ac:dyDescent="0.25">
      <c r="A98" s="28">
        <v>14</v>
      </c>
      <c r="B98" s="24">
        <v>4</v>
      </c>
      <c r="C98" s="26">
        <v>44</v>
      </c>
      <c r="D98" s="25" t="s">
        <v>148</v>
      </c>
      <c r="E98" s="26">
        <v>94</v>
      </c>
    </row>
    <row r="99" spans="1:8" x14ac:dyDescent="0.25">
      <c r="A99" s="27">
        <v>15</v>
      </c>
      <c r="B99" s="22">
        <v>1</v>
      </c>
      <c r="C99" s="29">
        <v>44</v>
      </c>
      <c r="D99" s="23" t="s">
        <v>149</v>
      </c>
      <c r="E99" s="27">
        <v>100</v>
      </c>
      <c r="F99" s="27">
        <v>1</v>
      </c>
      <c r="G99" s="27">
        <v>1</v>
      </c>
      <c r="H99" s="27"/>
    </row>
    <row r="100" spans="1:8" x14ac:dyDescent="0.25">
      <c r="A100" s="27">
        <v>15</v>
      </c>
      <c r="B100" s="22">
        <v>1</v>
      </c>
      <c r="C100" s="29">
        <v>192</v>
      </c>
      <c r="D100" s="23" t="s">
        <v>146</v>
      </c>
      <c r="E100" s="27">
        <v>75</v>
      </c>
    </row>
    <row r="101" spans="1:8" x14ac:dyDescent="0.25">
      <c r="A101" s="27">
        <v>15</v>
      </c>
      <c r="B101" s="22">
        <v>1</v>
      </c>
      <c r="C101" t="s">
        <v>145</v>
      </c>
      <c r="D101" s="23" t="s">
        <v>148</v>
      </c>
      <c r="E101" s="27">
        <v>1</v>
      </c>
    </row>
    <row r="102" spans="1:8" x14ac:dyDescent="0.25">
      <c r="A102" s="27">
        <v>15</v>
      </c>
      <c r="B102" s="22">
        <v>2</v>
      </c>
      <c r="C102">
        <v>44</v>
      </c>
      <c r="D102" s="23" t="s">
        <v>146</v>
      </c>
      <c r="E102" s="27">
        <v>80</v>
      </c>
      <c r="F102" s="27">
        <v>1</v>
      </c>
      <c r="G102" s="27">
        <v>1</v>
      </c>
      <c r="H102" s="27"/>
    </row>
    <row r="103" spans="1:8" x14ac:dyDescent="0.25">
      <c r="A103" s="27">
        <v>15</v>
      </c>
      <c r="B103" s="22">
        <v>2</v>
      </c>
      <c r="C103">
        <v>192</v>
      </c>
      <c r="D103" s="23" t="s">
        <v>147</v>
      </c>
      <c r="E103" s="27">
        <v>50</v>
      </c>
    </row>
    <row r="104" spans="1:8" x14ac:dyDescent="0.25">
      <c r="A104" s="27">
        <v>15</v>
      </c>
      <c r="B104" s="22">
        <v>2</v>
      </c>
      <c r="C104" t="s">
        <v>145</v>
      </c>
      <c r="D104" s="23" t="s">
        <v>148</v>
      </c>
      <c r="E104" s="27">
        <v>1</v>
      </c>
    </row>
    <row r="105" spans="1:8" x14ac:dyDescent="0.25">
      <c r="A105" s="27">
        <v>15</v>
      </c>
      <c r="B105" s="22">
        <v>3</v>
      </c>
      <c r="C105">
        <v>192</v>
      </c>
      <c r="D105" s="23" t="s">
        <v>146</v>
      </c>
      <c r="E105" s="27">
        <v>70</v>
      </c>
      <c r="F105" s="27">
        <v>0</v>
      </c>
      <c r="G105" s="27">
        <v>1</v>
      </c>
      <c r="H105" s="27"/>
    </row>
    <row r="106" spans="1:8" x14ac:dyDescent="0.25">
      <c r="A106" s="27">
        <v>15</v>
      </c>
      <c r="B106" s="22">
        <v>3</v>
      </c>
      <c r="C106">
        <v>44</v>
      </c>
      <c r="D106" s="23" t="s">
        <v>147</v>
      </c>
      <c r="E106" s="27">
        <v>45</v>
      </c>
    </row>
    <row r="107" spans="1:8" x14ac:dyDescent="0.25">
      <c r="A107" s="27">
        <v>15</v>
      </c>
      <c r="B107" s="22">
        <v>3</v>
      </c>
      <c r="C107" t="s">
        <v>145</v>
      </c>
      <c r="D107" s="23" t="s">
        <v>148</v>
      </c>
      <c r="E107" s="27">
        <v>1</v>
      </c>
    </row>
    <row r="108" spans="1:8" x14ac:dyDescent="0.25">
      <c r="A108" s="27">
        <v>15</v>
      </c>
      <c r="B108" s="22">
        <v>4</v>
      </c>
      <c r="C108" t="s">
        <v>145</v>
      </c>
      <c r="D108" s="23" t="s">
        <v>149</v>
      </c>
      <c r="E108" s="27">
        <v>100</v>
      </c>
      <c r="F108" s="27">
        <v>1</v>
      </c>
      <c r="G108" s="27">
        <v>1</v>
      </c>
      <c r="H108" s="27"/>
    </row>
    <row r="109" spans="1:8" x14ac:dyDescent="0.25">
      <c r="A109" s="27">
        <v>15</v>
      </c>
      <c r="B109" s="22">
        <v>4</v>
      </c>
      <c r="C109">
        <v>192</v>
      </c>
      <c r="D109" s="23" t="s">
        <v>146</v>
      </c>
      <c r="E109" s="27">
        <v>80</v>
      </c>
    </row>
    <row r="110" spans="1:8" x14ac:dyDescent="0.25">
      <c r="A110" s="27">
        <v>15</v>
      </c>
      <c r="B110" s="22">
        <v>4</v>
      </c>
      <c r="C110">
        <v>44</v>
      </c>
      <c r="D110" s="23" t="s">
        <v>147</v>
      </c>
      <c r="E110" s="27">
        <v>55</v>
      </c>
    </row>
    <row r="111" spans="1:8" x14ac:dyDescent="0.25">
      <c r="A111" s="27">
        <v>16</v>
      </c>
      <c r="B111" s="22">
        <v>1</v>
      </c>
      <c r="C111" s="29">
        <v>192</v>
      </c>
      <c r="D111" s="23" t="s">
        <v>149</v>
      </c>
      <c r="E111" s="27">
        <v>100</v>
      </c>
      <c r="F111" s="27">
        <v>0</v>
      </c>
      <c r="G111" s="27">
        <v>1</v>
      </c>
      <c r="H111" s="27"/>
    </row>
    <row r="112" spans="1:8" x14ac:dyDescent="0.25">
      <c r="A112" s="27">
        <v>16</v>
      </c>
      <c r="B112" s="22">
        <v>1</v>
      </c>
      <c r="C112" s="29">
        <v>44</v>
      </c>
      <c r="D112" s="23" t="s">
        <v>146</v>
      </c>
      <c r="E112" s="27">
        <v>90</v>
      </c>
    </row>
    <row r="113" spans="1:8" x14ac:dyDescent="0.25">
      <c r="A113" s="27">
        <v>16</v>
      </c>
      <c r="B113" s="22">
        <v>1</v>
      </c>
      <c r="C113" t="s">
        <v>145</v>
      </c>
      <c r="D113" s="23" t="s">
        <v>147</v>
      </c>
      <c r="E113" s="27">
        <v>80</v>
      </c>
    </row>
    <row r="114" spans="1:8" x14ac:dyDescent="0.25">
      <c r="A114" s="27">
        <v>16</v>
      </c>
      <c r="B114" s="22">
        <v>2</v>
      </c>
      <c r="C114" t="s">
        <v>145</v>
      </c>
      <c r="D114" s="23" t="s">
        <v>149</v>
      </c>
      <c r="E114" s="27">
        <v>100</v>
      </c>
      <c r="F114" s="27">
        <v>1</v>
      </c>
      <c r="G114" s="27">
        <v>1</v>
      </c>
      <c r="H114" s="27"/>
    </row>
    <row r="115" spans="1:8" x14ac:dyDescent="0.25">
      <c r="A115" s="27">
        <v>16</v>
      </c>
      <c r="B115" s="22">
        <v>2</v>
      </c>
      <c r="C115">
        <v>192</v>
      </c>
      <c r="D115" s="23" t="s">
        <v>146</v>
      </c>
      <c r="E115" s="27">
        <v>90</v>
      </c>
    </row>
    <row r="116" spans="1:8" x14ac:dyDescent="0.25">
      <c r="A116" s="27">
        <v>16</v>
      </c>
      <c r="B116" s="22">
        <v>2</v>
      </c>
      <c r="C116">
        <v>44</v>
      </c>
      <c r="D116" s="23" t="s">
        <v>148</v>
      </c>
      <c r="E116" s="27">
        <v>1</v>
      </c>
    </row>
    <row r="117" spans="1:8" x14ac:dyDescent="0.25">
      <c r="A117" s="27">
        <v>16</v>
      </c>
      <c r="B117" s="22">
        <v>3</v>
      </c>
      <c r="C117">
        <v>44</v>
      </c>
      <c r="D117" s="23" t="s">
        <v>146</v>
      </c>
      <c r="E117" s="27">
        <v>90</v>
      </c>
      <c r="F117" s="27">
        <v>1</v>
      </c>
      <c r="G117" s="27">
        <v>1</v>
      </c>
      <c r="H117" s="27"/>
    </row>
    <row r="118" spans="1:8" x14ac:dyDescent="0.25">
      <c r="A118" s="27">
        <v>16</v>
      </c>
      <c r="B118" s="22">
        <v>3</v>
      </c>
      <c r="C118">
        <v>192</v>
      </c>
      <c r="D118" s="23" t="s">
        <v>147</v>
      </c>
      <c r="E118" s="27">
        <v>80</v>
      </c>
    </row>
    <row r="119" spans="1:8" x14ac:dyDescent="0.25">
      <c r="A119" s="27">
        <v>16</v>
      </c>
      <c r="B119" s="22">
        <v>3</v>
      </c>
      <c r="C119" t="s">
        <v>145</v>
      </c>
      <c r="D119" s="23" t="s">
        <v>148</v>
      </c>
      <c r="E119" s="27">
        <v>1</v>
      </c>
    </row>
    <row r="120" spans="1:8" x14ac:dyDescent="0.25">
      <c r="A120" s="27">
        <v>17</v>
      </c>
      <c r="B120" s="22">
        <v>1</v>
      </c>
      <c r="C120" s="29">
        <v>44</v>
      </c>
      <c r="D120" s="23" t="s">
        <v>149</v>
      </c>
      <c r="E120" s="27">
        <v>100</v>
      </c>
      <c r="F120" s="27">
        <v>1</v>
      </c>
      <c r="G120" s="27">
        <v>1</v>
      </c>
      <c r="H120" s="27"/>
    </row>
    <row r="121" spans="1:8" x14ac:dyDescent="0.25">
      <c r="A121" s="27">
        <v>17</v>
      </c>
      <c r="B121" s="22">
        <v>1</v>
      </c>
      <c r="C121" s="29">
        <v>192</v>
      </c>
      <c r="D121" s="23" t="s">
        <v>147</v>
      </c>
      <c r="E121" s="27">
        <v>10</v>
      </c>
    </row>
    <row r="122" spans="1:8" x14ac:dyDescent="0.25">
      <c r="A122" s="27">
        <v>17</v>
      </c>
      <c r="B122" s="22">
        <v>1</v>
      </c>
      <c r="C122" t="s">
        <v>145</v>
      </c>
      <c r="D122" s="23" t="s">
        <v>148</v>
      </c>
      <c r="E122" s="27">
        <v>1</v>
      </c>
    </row>
    <row r="123" spans="1:8" x14ac:dyDescent="0.25">
      <c r="A123" s="27">
        <v>17</v>
      </c>
      <c r="B123" s="22">
        <v>3</v>
      </c>
      <c r="C123" t="s">
        <v>145</v>
      </c>
      <c r="D123" s="23" t="s">
        <v>149</v>
      </c>
      <c r="E123" s="27">
        <v>100</v>
      </c>
      <c r="F123" s="27">
        <v>1</v>
      </c>
      <c r="G123" s="27">
        <v>1</v>
      </c>
      <c r="H123" s="27"/>
    </row>
    <row r="124" spans="1:8" x14ac:dyDescent="0.25">
      <c r="A124" s="27">
        <v>17</v>
      </c>
      <c r="B124" s="22">
        <v>3</v>
      </c>
      <c r="C124">
        <v>192</v>
      </c>
      <c r="D124" s="23" t="s">
        <v>146</v>
      </c>
      <c r="E124" s="27">
        <v>85</v>
      </c>
    </row>
    <row r="125" spans="1:8" x14ac:dyDescent="0.25">
      <c r="A125" s="27">
        <v>17</v>
      </c>
      <c r="B125" s="22">
        <v>3</v>
      </c>
      <c r="C125">
        <v>44</v>
      </c>
      <c r="D125" s="23" t="s">
        <v>147</v>
      </c>
      <c r="E125" s="27">
        <v>10</v>
      </c>
    </row>
    <row r="126" spans="1:8" x14ac:dyDescent="0.25">
      <c r="A126" s="27">
        <v>17</v>
      </c>
      <c r="B126" s="22">
        <v>4</v>
      </c>
      <c r="C126" t="s">
        <v>145</v>
      </c>
      <c r="D126" s="23" t="s">
        <v>149</v>
      </c>
      <c r="E126" s="27">
        <v>100</v>
      </c>
      <c r="F126" s="27">
        <v>0</v>
      </c>
      <c r="G126" s="27">
        <v>1</v>
      </c>
      <c r="H126" s="27"/>
    </row>
    <row r="127" spans="1:8" x14ac:dyDescent="0.25">
      <c r="A127" s="27">
        <v>17</v>
      </c>
      <c r="B127" s="22">
        <v>4</v>
      </c>
      <c r="C127">
        <v>44</v>
      </c>
      <c r="D127" s="23" t="s">
        <v>147</v>
      </c>
      <c r="E127" s="27">
        <v>20</v>
      </c>
    </row>
    <row r="128" spans="1:8" x14ac:dyDescent="0.25">
      <c r="A128" s="28">
        <v>17</v>
      </c>
      <c r="B128" s="24">
        <v>4</v>
      </c>
      <c r="C128" s="26">
        <v>192</v>
      </c>
      <c r="D128" s="25" t="s">
        <v>148</v>
      </c>
      <c r="E128" s="26">
        <v>1</v>
      </c>
    </row>
    <row r="129" spans="1:8" x14ac:dyDescent="0.25">
      <c r="A129" s="27">
        <v>18</v>
      </c>
      <c r="B129" s="22">
        <v>3</v>
      </c>
      <c r="C129" t="s">
        <v>145</v>
      </c>
      <c r="D129" s="23" t="s">
        <v>146</v>
      </c>
      <c r="E129" s="27">
        <v>90</v>
      </c>
      <c r="F129" s="27">
        <v>1</v>
      </c>
      <c r="G129" s="27">
        <v>1</v>
      </c>
      <c r="H129" s="27"/>
    </row>
    <row r="130" spans="1:8" x14ac:dyDescent="0.25">
      <c r="A130" s="27">
        <v>18</v>
      </c>
      <c r="B130" s="22">
        <v>3</v>
      </c>
      <c r="C130">
        <v>192</v>
      </c>
      <c r="D130" s="23" t="s">
        <v>147</v>
      </c>
      <c r="E130" s="27">
        <v>20</v>
      </c>
    </row>
    <row r="131" spans="1:8" x14ac:dyDescent="0.25">
      <c r="A131" s="27">
        <v>18</v>
      </c>
      <c r="B131" s="22">
        <v>3</v>
      </c>
      <c r="C131">
        <v>44</v>
      </c>
      <c r="D131" s="23" t="s">
        <v>148</v>
      </c>
      <c r="E131" s="27">
        <v>1</v>
      </c>
    </row>
    <row r="132" spans="1:8" x14ac:dyDescent="0.25">
      <c r="A132" s="27">
        <v>18</v>
      </c>
      <c r="B132" s="22">
        <v>4</v>
      </c>
      <c r="C132" t="s">
        <v>145</v>
      </c>
      <c r="D132" s="23" t="s">
        <v>146</v>
      </c>
      <c r="E132" s="27">
        <v>90</v>
      </c>
      <c r="F132" s="27">
        <v>1</v>
      </c>
      <c r="G132" s="27">
        <v>1</v>
      </c>
      <c r="H132" s="27"/>
    </row>
    <row r="133" spans="1:8" x14ac:dyDescent="0.25">
      <c r="A133" s="27">
        <v>18</v>
      </c>
      <c r="B133" s="22">
        <v>4</v>
      </c>
      <c r="C133">
        <v>192</v>
      </c>
      <c r="D133" s="23" t="s">
        <v>147</v>
      </c>
      <c r="E133" s="27">
        <v>30</v>
      </c>
    </row>
    <row r="134" spans="1:8" x14ac:dyDescent="0.25">
      <c r="A134" s="28">
        <v>18</v>
      </c>
      <c r="B134" s="24">
        <v>4</v>
      </c>
      <c r="C134" s="26">
        <v>44</v>
      </c>
      <c r="D134" s="25" t="s">
        <v>148</v>
      </c>
      <c r="E134" s="26">
        <v>1</v>
      </c>
    </row>
    <row r="135" spans="1:8" x14ac:dyDescent="0.25">
      <c r="A135" s="27">
        <v>19</v>
      </c>
      <c r="B135" s="22">
        <v>1</v>
      </c>
      <c r="C135" s="29">
        <v>192</v>
      </c>
      <c r="D135" s="23" t="s">
        <v>146</v>
      </c>
      <c r="E135" s="27">
        <v>99</v>
      </c>
      <c r="F135" s="27">
        <v>0</v>
      </c>
      <c r="G135" s="27">
        <v>1</v>
      </c>
      <c r="H135" s="27"/>
    </row>
    <row r="136" spans="1:8" x14ac:dyDescent="0.25">
      <c r="A136" s="27">
        <v>19</v>
      </c>
      <c r="B136" s="22">
        <v>1</v>
      </c>
      <c r="C136" s="29">
        <v>44</v>
      </c>
      <c r="D136" s="23" t="s">
        <v>147</v>
      </c>
      <c r="E136" s="27">
        <v>57</v>
      </c>
    </row>
    <row r="137" spans="1:8" x14ac:dyDescent="0.25">
      <c r="A137" s="27">
        <v>19</v>
      </c>
      <c r="B137" s="22">
        <v>1</v>
      </c>
      <c r="C137" t="s">
        <v>145</v>
      </c>
      <c r="D137" s="23" t="s">
        <v>148</v>
      </c>
      <c r="E137" s="27">
        <v>1</v>
      </c>
    </row>
    <row r="138" spans="1:8" x14ac:dyDescent="0.25">
      <c r="A138" s="27">
        <v>19</v>
      </c>
      <c r="B138" s="22">
        <v>2</v>
      </c>
      <c r="C138">
        <v>192</v>
      </c>
      <c r="D138" s="23" t="s">
        <v>149</v>
      </c>
      <c r="E138" s="27">
        <v>100</v>
      </c>
      <c r="F138" s="27">
        <v>0</v>
      </c>
      <c r="G138" s="27">
        <v>1</v>
      </c>
      <c r="H138" s="27"/>
    </row>
    <row r="139" spans="1:8" x14ac:dyDescent="0.25">
      <c r="A139" s="27">
        <v>19</v>
      </c>
      <c r="B139" s="22">
        <v>2</v>
      </c>
      <c r="C139">
        <v>44</v>
      </c>
      <c r="D139" s="23" t="s">
        <v>146</v>
      </c>
      <c r="E139" s="27">
        <v>97</v>
      </c>
    </row>
    <row r="140" spans="1:8" x14ac:dyDescent="0.25">
      <c r="A140" s="27">
        <v>19</v>
      </c>
      <c r="B140" s="22">
        <v>2</v>
      </c>
      <c r="C140" t="s">
        <v>145</v>
      </c>
      <c r="D140" s="23" t="s">
        <v>148</v>
      </c>
      <c r="E140" s="27">
        <v>1</v>
      </c>
    </row>
    <row r="141" spans="1:8" x14ac:dyDescent="0.25">
      <c r="A141" s="27">
        <v>19</v>
      </c>
      <c r="B141" s="22">
        <v>4</v>
      </c>
      <c r="C141" t="s">
        <v>145</v>
      </c>
      <c r="D141" s="23" t="s">
        <v>149</v>
      </c>
      <c r="E141" s="27">
        <v>100</v>
      </c>
      <c r="F141" s="27">
        <v>0</v>
      </c>
      <c r="G141" s="27">
        <v>1</v>
      </c>
      <c r="H141" s="27"/>
    </row>
    <row r="142" spans="1:8" x14ac:dyDescent="0.25">
      <c r="A142" s="27">
        <v>19</v>
      </c>
      <c r="B142" s="22">
        <v>4</v>
      </c>
      <c r="C142">
        <v>44</v>
      </c>
      <c r="D142" s="23" t="s">
        <v>146</v>
      </c>
      <c r="E142" s="27">
        <v>99</v>
      </c>
    </row>
    <row r="143" spans="1:8" x14ac:dyDescent="0.25">
      <c r="A143" s="28">
        <v>19</v>
      </c>
      <c r="B143" s="24">
        <v>4</v>
      </c>
      <c r="C143" s="26">
        <v>192</v>
      </c>
      <c r="D143" s="25" t="s">
        <v>148</v>
      </c>
      <c r="E143" s="26">
        <v>1</v>
      </c>
    </row>
    <row r="144" spans="1:8" x14ac:dyDescent="0.25">
      <c r="A144" s="27">
        <v>20</v>
      </c>
      <c r="B144" s="22">
        <v>1</v>
      </c>
      <c r="C144" s="29">
        <v>44</v>
      </c>
      <c r="D144" s="23" t="s">
        <v>149</v>
      </c>
      <c r="E144" s="27">
        <v>100</v>
      </c>
      <c r="F144" s="27">
        <v>1</v>
      </c>
      <c r="G144" s="27">
        <v>1</v>
      </c>
      <c r="H144" s="27"/>
    </row>
    <row r="145" spans="1:8" x14ac:dyDescent="0.25">
      <c r="A145" s="27">
        <v>20</v>
      </c>
      <c r="B145" s="22">
        <v>1</v>
      </c>
      <c r="C145" s="29">
        <v>192</v>
      </c>
      <c r="D145" s="23" t="s">
        <v>147</v>
      </c>
      <c r="E145" s="27">
        <v>90</v>
      </c>
    </row>
    <row r="146" spans="1:8" x14ac:dyDescent="0.25">
      <c r="A146" s="27">
        <v>20</v>
      </c>
      <c r="B146" s="22">
        <v>1</v>
      </c>
      <c r="C146" t="s">
        <v>145</v>
      </c>
      <c r="D146" s="23" t="s">
        <v>148</v>
      </c>
      <c r="E146" s="27">
        <v>1</v>
      </c>
    </row>
    <row r="147" spans="1:8" x14ac:dyDescent="0.25">
      <c r="A147" s="27">
        <v>20</v>
      </c>
      <c r="B147" s="22">
        <v>2</v>
      </c>
      <c r="C147" t="s">
        <v>145</v>
      </c>
      <c r="D147" s="23" t="s">
        <v>149</v>
      </c>
      <c r="E147" s="27">
        <v>100</v>
      </c>
      <c r="F147" s="27">
        <v>0</v>
      </c>
      <c r="G147" s="27">
        <v>1</v>
      </c>
      <c r="H147" s="27"/>
    </row>
    <row r="148" spans="1:8" x14ac:dyDescent="0.25">
      <c r="A148" s="27">
        <v>20</v>
      </c>
      <c r="B148" s="22">
        <v>2</v>
      </c>
      <c r="C148">
        <v>44</v>
      </c>
      <c r="D148" s="23" t="s">
        <v>147</v>
      </c>
      <c r="E148" s="27">
        <v>90</v>
      </c>
    </row>
    <row r="149" spans="1:8" x14ac:dyDescent="0.25">
      <c r="A149" s="27">
        <v>20</v>
      </c>
      <c r="B149" s="22">
        <v>2</v>
      </c>
      <c r="C149">
        <v>192</v>
      </c>
      <c r="D149" s="23" t="s">
        <v>148</v>
      </c>
      <c r="E149" s="27">
        <v>1</v>
      </c>
    </row>
    <row r="150" spans="1:8" x14ac:dyDescent="0.25">
      <c r="A150" s="27">
        <v>20</v>
      </c>
      <c r="B150" s="22">
        <v>3</v>
      </c>
      <c r="C150" t="s">
        <v>145</v>
      </c>
      <c r="D150" s="23" t="s">
        <v>146</v>
      </c>
      <c r="E150" s="27">
        <v>95</v>
      </c>
      <c r="F150" s="27">
        <v>0</v>
      </c>
      <c r="G150" s="27">
        <v>1</v>
      </c>
      <c r="H150" s="27"/>
    </row>
    <row r="151" spans="1:8" x14ac:dyDescent="0.25">
      <c r="A151" s="27">
        <v>20</v>
      </c>
      <c r="B151" s="22">
        <v>3</v>
      </c>
      <c r="C151">
        <v>44</v>
      </c>
      <c r="D151" s="23" t="s">
        <v>147</v>
      </c>
      <c r="E151" s="27">
        <v>90</v>
      </c>
    </row>
    <row r="152" spans="1:8" x14ac:dyDescent="0.25">
      <c r="A152" s="27">
        <v>20</v>
      </c>
      <c r="B152" s="22">
        <v>3</v>
      </c>
      <c r="C152">
        <v>192</v>
      </c>
      <c r="D152" s="23" t="s">
        <v>148</v>
      </c>
      <c r="E152" s="27">
        <v>1</v>
      </c>
    </row>
    <row r="153" spans="1:8" x14ac:dyDescent="0.25">
      <c r="A153" s="27">
        <v>20</v>
      </c>
      <c r="B153" s="22">
        <v>4</v>
      </c>
      <c r="C153">
        <v>192</v>
      </c>
      <c r="D153" s="23" t="s">
        <v>149</v>
      </c>
      <c r="E153" s="27">
        <v>100</v>
      </c>
      <c r="F153" s="27">
        <v>0</v>
      </c>
      <c r="G153" s="27">
        <v>1</v>
      </c>
      <c r="H153" s="27"/>
    </row>
    <row r="154" spans="1:8" x14ac:dyDescent="0.25">
      <c r="A154" s="27">
        <v>20</v>
      </c>
      <c r="B154" s="22">
        <v>4</v>
      </c>
      <c r="C154">
        <v>44</v>
      </c>
      <c r="D154" s="23" t="s">
        <v>146</v>
      </c>
      <c r="E154" s="27">
        <v>95</v>
      </c>
    </row>
    <row r="155" spans="1:8" x14ac:dyDescent="0.25">
      <c r="A155" s="28">
        <v>20</v>
      </c>
      <c r="B155" s="24">
        <v>4</v>
      </c>
      <c r="C155" s="26" t="s">
        <v>145</v>
      </c>
      <c r="D155" s="25" t="s">
        <v>148</v>
      </c>
      <c r="E155" s="26">
        <v>1</v>
      </c>
    </row>
    <row r="156" spans="1:8" x14ac:dyDescent="0.25">
      <c r="A156" s="27">
        <v>21</v>
      </c>
      <c r="B156" s="22">
        <v>2</v>
      </c>
      <c r="C156" t="s">
        <v>145</v>
      </c>
      <c r="D156" s="23" t="s">
        <v>146</v>
      </c>
      <c r="E156" s="27">
        <v>90</v>
      </c>
      <c r="F156" s="27">
        <v>0</v>
      </c>
      <c r="G156" s="27">
        <v>1</v>
      </c>
      <c r="H156" s="27"/>
    </row>
    <row r="157" spans="1:8" x14ac:dyDescent="0.25">
      <c r="A157" s="27">
        <v>21</v>
      </c>
      <c r="B157" s="22">
        <v>2</v>
      </c>
      <c r="C157">
        <v>44</v>
      </c>
      <c r="D157" s="23" t="s">
        <v>147</v>
      </c>
      <c r="E157" s="27">
        <v>10</v>
      </c>
    </row>
    <row r="158" spans="1:8" x14ac:dyDescent="0.25">
      <c r="A158" s="27">
        <v>21</v>
      </c>
      <c r="B158" s="22">
        <v>2</v>
      </c>
      <c r="C158">
        <v>192</v>
      </c>
      <c r="D158" s="23" t="s">
        <v>148</v>
      </c>
      <c r="E158" s="27">
        <v>1</v>
      </c>
    </row>
    <row r="159" spans="1:8" x14ac:dyDescent="0.25">
      <c r="A159" s="27">
        <v>21</v>
      </c>
      <c r="B159" s="22">
        <v>3</v>
      </c>
      <c r="C159" t="s">
        <v>145</v>
      </c>
      <c r="D159" s="23" t="s">
        <v>146</v>
      </c>
      <c r="E159" s="27">
        <v>50</v>
      </c>
      <c r="F159" s="27">
        <v>1</v>
      </c>
      <c r="G159" s="27">
        <v>1</v>
      </c>
      <c r="H159" s="27"/>
    </row>
    <row r="160" spans="1:8" x14ac:dyDescent="0.25">
      <c r="A160" s="27">
        <v>21</v>
      </c>
      <c r="B160" s="22">
        <v>3</v>
      </c>
      <c r="C160">
        <v>192</v>
      </c>
      <c r="D160" s="23" t="s">
        <v>147</v>
      </c>
      <c r="E160" s="27">
        <v>40</v>
      </c>
    </row>
    <row r="161" spans="1:8" x14ac:dyDescent="0.25">
      <c r="A161" s="27">
        <v>21</v>
      </c>
      <c r="B161" s="22">
        <v>3</v>
      </c>
      <c r="C161">
        <v>44</v>
      </c>
      <c r="D161" s="23" t="s">
        <v>148</v>
      </c>
      <c r="E161" s="27">
        <v>1</v>
      </c>
    </row>
    <row r="162" spans="1:8" x14ac:dyDescent="0.25">
      <c r="A162" s="27">
        <v>22</v>
      </c>
      <c r="B162" s="22">
        <v>1</v>
      </c>
      <c r="C162" s="29">
        <v>44</v>
      </c>
      <c r="D162" s="23" t="s">
        <v>149</v>
      </c>
      <c r="E162" s="27">
        <v>100</v>
      </c>
      <c r="F162" s="27">
        <v>1</v>
      </c>
      <c r="G162" s="27">
        <v>1</v>
      </c>
      <c r="H162" s="27"/>
    </row>
    <row r="163" spans="1:8" x14ac:dyDescent="0.25">
      <c r="A163" s="27">
        <v>22</v>
      </c>
      <c r="B163" s="22">
        <v>1</v>
      </c>
      <c r="C163" s="29">
        <v>192</v>
      </c>
      <c r="D163" s="23" t="s">
        <v>146</v>
      </c>
      <c r="E163" s="27">
        <v>80</v>
      </c>
    </row>
    <row r="164" spans="1:8" x14ac:dyDescent="0.25">
      <c r="A164" s="27">
        <v>22</v>
      </c>
      <c r="B164" s="22">
        <v>1</v>
      </c>
      <c r="C164" t="s">
        <v>145</v>
      </c>
      <c r="D164" s="23" t="s">
        <v>148</v>
      </c>
      <c r="E164" s="27">
        <v>1</v>
      </c>
    </row>
    <row r="165" spans="1:8" x14ac:dyDescent="0.25">
      <c r="A165" s="27">
        <v>22</v>
      </c>
      <c r="B165" s="22">
        <v>2</v>
      </c>
      <c r="C165">
        <v>44</v>
      </c>
      <c r="D165" s="23" t="s">
        <v>149</v>
      </c>
      <c r="E165" s="27">
        <v>100</v>
      </c>
      <c r="F165" s="27">
        <v>1</v>
      </c>
      <c r="G165" s="27">
        <v>1</v>
      </c>
      <c r="H165" s="27"/>
    </row>
    <row r="166" spans="1:8" x14ac:dyDescent="0.25">
      <c r="A166" s="27">
        <v>22</v>
      </c>
      <c r="B166" s="22">
        <v>2</v>
      </c>
      <c r="C166">
        <v>192</v>
      </c>
      <c r="D166" s="23" t="s">
        <v>146</v>
      </c>
      <c r="E166" s="27">
        <v>80</v>
      </c>
    </row>
    <row r="167" spans="1:8" x14ac:dyDescent="0.25">
      <c r="A167" s="27">
        <v>22</v>
      </c>
      <c r="B167" s="22">
        <v>2</v>
      </c>
      <c r="C167" t="s">
        <v>145</v>
      </c>
      <c r="D167" s="23" t="s">
        <v>148</v>
      </c>
      <c r="E167" s="27">
        <v>1</v>
      </c>
    </row>
    <row r="168" spans="1:8" x14ac:dyDescent="0.25">
      <c r="A168" s="27">
        <v>22</v>
      </c>
      <c r="B168" s="22">
        <v>3</v>
      </c>
      <c r="C168">
        <v>192</v>
      </c>
      <c r="D168" s="23" t="s">
        <v>149</v>
      </c>
      <c r="E168" s="27">
        <v>100</v>
      </c>
      <c r="F168" s="27">
        <v>0</v>
      </c>
      <c r="G168" s="27">
        <v>1</v>
      </c>
      <c r="H168" s="27"/>
    </row>
    <row r="169" spans="1:8" x14ac:dyDescent="0.25">
      <c r="A169" s="27">
        <v>22</v>
      </c>
      <c r="B169" s="22">
        <v>3</v>
      </c>
      <c r="C169">
        <v>44</v>
      </c>
      <c r="D169" s="23" t="s">
        <v>147</v>
      </c>
      <c r="E169" s="27">
        <v>50</v>
      </c>
    </row>
    <row r="170" spans="1:8" x14ac:dyDescent="0.25">
      <c r="A170" s="27">
        <v>22</v>
      </c>
      <c r="B170" s="22">
        <v>3</v>
      </c>
      <c r="C170" t="s">
        <v>145</v>
      </c>
      <c r="D170" s="23" t="s">
        <v>148</v>
      </c>
      <c r="E170" s="27">
        <v>1</v>
      </c>
    </row>
    <row r="171" spans="1:8" x14ac:dyDescent="0.25">
      <c r="A171" s="27">
        <v>23</v>
      </c>
      <c r="B171" s="22">
        <v>4</v>
      </c>
      <c r="C171">
        <v>44</v>
      </c>
      <c r="D171" s="23" t="s">
        <v>149</v>
      </c>
      <c r="E171" s="27">
        <v>100</v>
      </c>
      <c r="F171" s="27">
        <v>1</v>
      </c>
      <c r="G171" s="27">
        <v>1</v>
      </c>
      <c r="H171" s="27"/>
    </row>
    <row r="172" spans="1:8" x14ac:dyDescent="0.25">
      <c r="A172" s="27">
        <v>23</v>
      </c>
      <c r="B172" s="22">
        <v>4</v>
      </c>
      <c r="C172">
        <v>192</v>
      </c>
      <c r="D172" s="23" t="s">
        <v>146</v>
      </c>
      <c r="E172" s="27">
        <v>85</v>
      </c>
    </row>
    <row r="173" spans="1:8" x14ac:dyDescent="0.25">
      <c r="A173" s="28">
        <v>23</v>
      </c>
      <c r="B173" s="24">
        <v>4</v>
      </c>
      <c r="C173" s="26" t="s">
        <v>145</v>
      </c>
      <c r="D173" s="25" t="s">
        <v>148</v>
      </c>
      <c r="E173" s="26">
        <v>1</v>
      </c>
    </row>
    <row r="174" spans="1:8" x14ac:dyDescent="0.25">
      <c r="A174" s="27">
        <v>24</v>
      </c>
      <c r="B174" s="22">
        <v>1</v>
      </c>
      <c r="C174" t="s">
        <v>145</v>
      </c>
      <c r="D174" s="23" t="s">
        <v>149</v>
      </c>
      <c r="E174" s="27">
        <v>100</v>
      </c>
      <c r="F174" s="27">
        <v>1</v>
      </c>
      <c r="G174" s="27">
        <v>1</v>
      </c>
      <c r="H174" s="27"/>
    </row>
    <row r="175" spans="1:8" x14ac:dyDescent="0.25">
      <c r="A175" s="27">
        <v>24</v>
      </c>
      <c r="B175" s="22">
        <v>1</v>
      </c>
      <c r="C175">
        <v>192</v>
      </c>
      <c r="D175" s="23" t="s">
        <v>147</v>
      </c>
      <c r="E175" s="27">
        <v>20</v>
      </c>
    </row>
    <row r="176" spans="1:8" x14ac:dyDescent="0.25">
      <c r="A176" s="27">
        <v>24</v>
      </c>
      <c r="B176" s="22">
        <v>1</v>
      </c>
      <c r="C176">
        <v>44</v>
      </c>
      <c r="D176" s="23" t="s">
        <v>148</v>
      </c>
      <c r="E176" s="27">
        <v>1</v>
      </c>
    </row>
    <row r="177" spans="1:9" x14ac:dyDescent="0.25">
      <c r="A177" s="27">
        <v>25</v>
      </c>
      <c r="B177" s="22">
        <v>1</v>
      </c>
      <c r="C177" s="29">
        <v>192</v>
      </c>
      <c r="D177" s="23" t="s">
        <v>149</v>
      </c>
      <c r="E177" s="27">
        <v>100</v>
      </c>
      <c r="F177" s="27">
        <v>0</v>
      </c>
      <c r="G177" s="27">
        <v>1</v>
      </c>
      <c r="H177" s="27"/>
    </row>
    <row r="178" spans="1:9" x14ac:dyDescent="0.25">
      <c r="A178" s="27">
        <v>25</v>
      </c>
      <c r="B178" s="22">
        <v>1</v>
      </c>
      <c r="C178" s="29">
        <v>44</v>
      </c>
      <c r="D178" s="23" t="s">
        <v>146</v>
      </c>
      <c r="E178" s="27">
        <v>80</v>
      </c>
    </row>
    <row r="179" spans="1:9" x14ac:dyDescent="0.25">
      <c r="A179" s="27">
        <v>25</v>
      </c>
      <c r="B179" s="22">
        <v>1</v>
      </c>
      <c r="C179" t="s">
        <v>145</v>
      </c>
      <c r="D179" s="23" t="s">
        <v>148</v>
      </c>
      <c r="E179" s="27">
        <v>40</v>
      </c>
    </row>
    <row r="180" spans="1:9" x14ac:dyDescent="0.25">
      <c r="A180" s="27">
        <v>25</v>
      </c>
      <c r="B180" s="22">
        <v>3</v>
      </c>
      <c r="C180" t="s">
        <v>145</v>
      </c>
      <c r="D180" s="23" t="s">
        <v>149</v>
      </c>
      <c r="E180" s="27">
        <v>100</v>
      </c>
      <c r="F180" s="27">
        <v>1</v>
      </c>
      <c r="G180" s="27">
        <v>1</v>
      </c>
      <c r="H180" s="27"/>
    </row>
    <row r="181" spans="1:9" x14ac:dyDescent="0.25">
      <c r="A181" s="27">
        <v>25</v>
      </c>
      <c r="B181" s="22">
        <v>3</v>
      </c>
      <c r="C181">
        <v>192</v>
      </c>
      <c r="D181" s="23" t="s">
        <v>147</v>
      </c>
      <c r="E181" s="27">
        <v>60</v>
      </c>
    </row>
    <row r="182" spans="1:9" x14ac:dyDescent="0.25">
      <c r="A182" s="27">
        <v>25</v>
      </c>
      <c r="B182" s="22">
        <v>3</v>
      </c>
      <c r="C182">
        <v>44</v>
      </c>
      <c r="D182" s="23" t="s">
        <v>148</v>
      </c>
      <c r="E182" s="27">
        <v>40</v>
      </c>
    </row>
    <row r="183" spans="1:9" x14ac:dyDescent="0.25">
      <c r="A183" s="27">
        <v>25</v>
      </c>
      <c r="B183" s="22">
        <v>4</v>
      </c>
      <c r="C183">
        <v>192</v>
      </c>
      <c r="D183" s="23" t="s">
        <v>149</v>
      </c>
      <c r="E183" s="27">
        <v>100</v>
      </c>
      <c r="F183" s="27">
        <v>0</v>
      </c>
      <c r="G183" s="27">
        <v>1</v>
      </c>
      <c r="H183" s="27"/>
    </row>
    <row r="184" spans="1:9" x14ac:dyDescent="0.25">
      <c r="A184" s="27">
        <v>25</v>
      </c>
      <c r="B184" s="22">
        <v>4</v>
      </c>
      <c r="C184">
        <v>44</v>
      </c>
      <c r="D184" s="23" t="s">
        <v>147</v>
      </c>
      <c r="E184" s="27">
        <v>60</v>
      </c>
    </row>
    <row r="185" spans="1:9" x14ac:dyDescent="0.25">
      <c r="A185" s="28">
        <v>25</v>
      </c>
      <c r="B185" s="24">
        <v>4</v>
      </c>
      <c r="C185" s="26" t="s">
        <v>145</v>
      </c>
      <c r="D185" s="25" t="s">
        <v>148</v>
      </c>
      <c r="E185" s="26">
        <v>40</v>
      </c>
    </row>
    <row r="186" spans="1:9" x14ac:dyDescent="0.25">
      <c r="A186" t="s">
        <v>152</v>
      </c>
      <c r="F186">
        <f>SUM(F3:F185)</f>
        <v>34</v>
      </c>
      <c r="G186">
        <f>SUM(G3:G185)</f>
        <v>61</v>
      </c>
      <c r="I186">
        <f>F186/G186</f>
        <v>0.55737704918032782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B1" workbookViewId="0">
      <selection activeCell="B1" sqref="B1"/>
    </sheetView>
  </sheetViews>
  <sheetFormatPr defaultColWidth="12.5703125" defaultRowHeight="15.75" x14ac:dyDescent="0.25"/>
  <cols>
    <col min="1" max="11" width="8.7109375" style="46" customWidth="1"/>
    <col min="12" max="12" width="4.7109375" style="46" customWidth="1"/>
    <col min="13" max="16384" width="12.5703125" style="46"/>
  </cols>
  <sheetData>
    <row r="1" spans="1:17" x14ac:dyDescent="0.25">
      <c r="B1" s="46" t="s">
        <v>213</v>
      </c>
      <c r="M1" s="47"/>
      <c r="N1" s="48"/>
      <c r="O1" s="48"/>
      <c r="P1" s="48"/>
      <c r="Q1" s="49"/>
    </row>
    <row r="2" spans="1:17" x14ac:dyDescent="0.25">
      <c r="B2" s="50"/>
      <c r="C2" s="51"/>
      <c r="D2" s="51"/>
      <c r="E2" s="51"/>
      <c r="F2" s="51"/>
      <c r="G2" s="51"/>
      <c r="H2" s="51"/>
      <c r="I2" s="51"/>
      <c r="J2" s="52"/>
      <c r="K2" s="53"/>
      <c r="M2" s="54"/>
      <c r="N2" s="55"/>
      <c r="O2" s="55"/>
      <c r="P2" s="55"/>
      <c r="Q2" s="56"/>
    </row>
    <row r="3" spans="1:17" x14ac:dyDescent="0.25">
      <c r="B3" s="50"/>
      <c r="C3" s="57"/>
      <c r="D3" s="57"/>
      <c r="E3" s="57"/>
      <c r="F3" s="57"/>
      <c r="G3" s="57"/>
      <c r="H3" s="57"/>
      <c r="I3" s="57"/>
      <c r="J3" s="58"/>
      <c r="M3" s="59"/>
      <c r="N3" s="55"/>
      <c r="O3" s="55"/>
      <c r="P3" s="55"/>
      <c r="Q3" s="56"/>
    </row>
    <row r="4" spans="1:17" x14ac:dyDescent="0.25">
      <c r="A4" s="60"/>
      <c r="B4" s="61"/>
      <c r="C4" s="62"/>
      <c r="D4" s="62"/>
      <c r="E4" s="62"/>
      <c r="F4" s="62"/>
      <c r="G4" s="62"/>
      <c r="H4" s="62"/>
      <c r="I4" s="62"/>
      <c r="J4" s="63"/>
      <c r="K4" s="64"/>
      <c r="M4" s="59"/>
      <c r="N4" s="55"/>
      <c r="O4" s="55"/>
      <c r="P4" s="55"/>
      <c r="Q4" s="56"/>
    </row>
    <row r="5" spans="1:17" x14ac:dyDescent="0.25">
      <c r="A5" s="65"/>
      <c r="B5" s="66"/>
      <c r="C5" s="67"/>
      <c r="D5" s="67"/>
      <c r="E5" s="67"/>
      <c r="F5" s="67"/>
      <c r="G5" s="67"/>
      <c r="H5" s="67"/>
      <c r="I5" s="67"/>
      <c r="J5" s="68"/>
      <c r="K5" s="69"/>
      <c r="M5" s="59"/>
      <c r="N5" s="55"/>
      <c r="O5" s="55"/>
      <c r="P5" s="55"/>
      <c r="Q5" s="56"/>
    </row>
    <row r="6" spans="1:17" x14ac:dyDescent="0.25">
      <c r="A6" s="70"/>
      <c r="B6" s="71"/>
      <c r="C6" s="72"/>
      <c r="D6" s="72"/>
      <c r="E6" s="72"/>
      <c r="F6" s="72"/>
      <c r="G6" s="72"/>
      <c r="H6" s="72"/>
      <c r="I6" s="72"/>
      <c r="J6" s="73"/>
      <c r="K6" s="74"/>
      <c r="M6" s="59"/>
      <c r="N6" s="55"/>
      <c r="O6" s="55"/>
      <c r="P6" s="55"/>
      <c r="Q6" s="56"/>
    </row>
    <row r="7" spans="1:17" x14ac:dyDescent="0.25">
      <c r="A7" s="75"/>
      <c r="B7" s="66"/>
      <c r="C7" s="67"/>
      <c r="D7" s="67"/>
      <c r="E7" s="67"/>
      <c r="F7" s="67"/>
      <c r="G7" s="67"/>
      <c r="H7" s="67"/>
      <c r="I7" s="67"/>
      <c r="J7" s="68"/>
      <c r="K7" s="76"/>
      <c r="M7" s="59"/>
      <c r="N7" s="55"/>
      <c r="O7" s="55"/>
      <c r="P7" s="55"/>
      <c r="Q7" s="56"/>
    </row>
    <row r="8" spans="1:17" x14ac:dyDescent="0.25">
      <c r="A8" s="75"/>
      <c r="B8" s="66"/>
      <c r="C8" s="67"/>
      <c r="D8" s="67"/>
      <c r="E8" s="67"/>
      <c r="F8" s="67"/>
      <c r="G8" s="67"/>
      <c r="H8" s="67"/>
      <c r="I8" s="67"/>
      <c r="J8" s="68"/>
      <c r="K8" s="76"/>
      <c r="M8" s="59"/>
      <c r="N8" s="55"/>
      <c r="O8" s="55"/>
      <c r="P8" s="55"/>
      <c r="Q8" s="56"/>
    </row>
    <row r="9" spans="1:17" x14ac:dyDescent="0.25">
      <c r="A9" s="75"/>
      <c r="B9" s="66"/>
      <c r="C9" s="67"/>
      <c r="D9" s="67"/>
      <c r="E9" s="67"/>
      <c r="F9" s="67"/>
      <c r="G9" s="67"/>
      <c r="H9" s="67"/>
      <c r="I9" s="67"/>
      <c r="J9" s="68"/>
      <c r="K9" s="76"/>
      <c r="M9" s="59"/>
      <c r="N9" s="55"/>
      <c r="O9" s="55"/>
      <c r="P9" s="55"/>
      <c r="Q9" s="56"/>
    </row>
    <row r="10" spans="1:17" x14ac:dyDescent="0.25">
      <c r="A10" s="60"/>
      <c r="B10" s="61"/>
      <c r="C10" s="62"/>
      <c r="D10" s="62"/>
      <c r="E10" s="62"/>
      <c r="F10" s="62"/>
      <c r="G10" s="62"/>
      <c r="H10" s="62"/>
      <c r="I10" s="62"/>
      <c r="J10" s="63"/>
      <c r="K10" s="77"/>
      <c r="M10" s="78"/>
      <c r="N10" s="55"/>
      <c r="O10" s="55"/>
      <c r="P10" s="55"/>
      <c r="Q10" s="56"/>
    </row>
    <row r="11" spans="1:17" x14ac:dyDescent="0.25">
      <c r="A11" s="65"/>
      <c r="B11" s="66"/>
      <c r="C11" s="67"/>
      <c r="D11" s="67"/>
      <c r="E11" s="67"/>
      <c r="F11" s="67"/>
      <c r="G11" s="67"/>
      <c r="H11" s="67"/>
      <c r="I11" s="67"/>
      <c r="J11" s="68"/>
      <c r="K11" s="69"/>
      <c r="M11" s="78"/>
      <c r="N11" s="55"/>
      <c r="O11" s="55"/>
      <c r="P11" s="55"/>
      <c r="Q11" s="56"/>
    </row>
    <row r="12" spans="1:17" x14ac:dyDescent="0.25">
      <c r="A12" s="70"/>
      <c r="B12" s="71"/>
      <c r="C12" s="72"/>
      <c r="D12" s="72"/>
      <c r="E12" s="72"/>
      <c r="F12" s="72"/>
      <c r="G12" s="72"/>
      <c r="H12" s="72"/>
      <c r="I12" s="72"/>
      <c r="J12" s="73"/>
      <c r="K12" s="74"/>
      <c r="M12" s="59"/>
      <c r="N12" s="55"/>
      <c r="O12" s="55"/>
      <c r="P12" s="55"/>
      <c r="Q12" s="56"/>
    </row>
    <row r="13" spans="1:17" x14ac:dyDescent="0.25">
      <c r="A13" s="60"/>
      <c r="B13" s="61"/>
      <c r="C13" s="62"/>
      <c r="D13" s="62"/>
      <c r="E13" s="62"/>
      <c r="F13" s="62"/>
      <c r="G13" s="62"/>
      <c r="H13" s="62"/>
      <c r="I13" s="62"/>
      <c r="J13" s="63"/>
      <c r="K13" s="77"/>
      <c r="M13" s="59"/>
      <c r="N13" s="55"/>
      <c r="O13" s="55"/>
      <c r="P13" s="55"/>
      <c r="Q13" s="56"/>
    </row>
    <row r="14" spans="1:17" x14ac:dyDescent="0.25">
      <c r="A14" s="65"/>
      <c r="B14" s="66"/>
      <c r="C14" s="67"/>
      <c r="D14" s="67"/>
      <c r="E14" s="67"/>
      <c r="F14" s="67"/>
      <c r="G14" s="67"/>
      <c r="H14" s="67"/>
      <c r="I14" s="67"/>
      <c r="J14" s="68"/>
      <c r="K14" s="69"/>
      <c r="M14" s="78"/>
      <c r="N14" s="55"/>
      <c r="O14" s="55"/>
      <c r="P14" s="55"/>
      <c r="Q14" s="56"/>
    </row>
    <row r="15" spans="1:17" x14ac:dyDescent="0.25">
      <c r="A15" s="70"/>
      <c r="B15" s="71"/>
      <c r="C15" s="72"/>
      <c r="D15" s="72"/>
      <c r="E15" s="72"/>
      <c r="F15" s="72"/>
      <c r="G15" s="72"/>
      <c r="H15" s="72"/>
      <c r="I15" s="72"/>
      <c r="J15" s="73"/>
      <c r="K15" s="74"/>
      <c r="M15" s="59"/>
      <c r="N15" s="55"/>
      <c r="O15" s="55"/>
      <c r="P15" s="55"/>
      <c r="Q15" s="56"/>
    </row>
    <row r="16" spans="1:17" x14ac:dyDescent="0.25">
      <c r="A16" s="75"/>
      <c r="B16" s="66"/>
      <c r="C16" s="67"/>
      <c r="D16" s="67"/>
      <c r="E16" s="67"/>
      <c r="F16" s="67"/>
      <c r="G16" s="67"/>
      <c r="H16" s="67"/>
      <c r="I16" s="67"/>
      <c r="J16" s="68"/>
      <c r="K16" s="76"/>
      <c r="M16" s="79"/>
      <c r="N16" s="80"/>
      <c r="O16" s="80"/>
      <c r="P16" s="80"/>
      <c r="Q16" s="81"/>
    </row>
    <row r="17" spans="1:15" x14ac:dyDescent="0.25">
      <c r="A17" s="75"/>
      <c r="B17" s="66"/>
      <c r="C17" s="67"/>
      <c r="D17" s="67"/>
      <c r="E17" s="67"/>
      <c r="F17" s="67"/>
      <c r="G17" s="67"/>
      <c r="H17" s="67"/>
      <c r="I17" s="67"/>
      <c r="J17" s="68"/>
      <c r="K17" s="76"/>
    </row>
    <row r="18" spans="1:15" x14ac:dyDescent="0.25">
      <c r="A18" s="75"/>
      <c r="B18" s="66"/>
      <c r="C18" s="67"/>
      <c r="D18" s="67"/>
      <c r="E18" s="67"/>
      <c r="F18" s="67"/>
      <c r="G18" s="67"/>
      <c r="H18" s="67"/>
      <c r="I18" s="67"/>
      <c r="J18" s="68"/>
      <c r="K18" s="76"/>
    </row>
    <row r="19" spans="1:15" x14ac:dyDescent="0.25">
      <c r="A19" s="60"/>
      <c r="B19" s="61"/>
      <c r="C19" s="62"/>
      <c r="D19" s="62"/>
      <c r="E19" s="62"/>
      <c r="F19" s="62"/>
      <c r="G19" s="62"/>
      <c r="H19" s="62"/>
      <c r="I19" s="62"/>
      <c r="J19" s="63"/>
      <c r="K19" s="77"/>
    </row>
    <row r="20" spans="1:15" x14ac:dyDescent="0.25">
      <c r="A20" s="65"/>
      <c r="B20" s="66"/>
      <c r="C20" s="67"/>
      <c r="D20" s="67"/>
      <c r="E20" s="67"/>
      <c r="F20" s="67"/>
      <c r="G20" s="67"/>
      <c r="H20" s="67"/>
      <c r="I20" s="67"/>
      <c r="J20" s="68"/>
      <c r="K20" s="69"/>
    </row>
    <row r="21" spans="1:15" x14ac:dyDescent="0.25">
      <c r="A21" s="82"/>
      <c r="B21" s="71"/>
      <c r="C21" s="72"/>
      <c r="D21" s="72"/>
      <c r="E21" s="72"/>
      <c r="F21" s="72"/>
      <c r="G21" s="72"/>
      <c r="H21" s="72"/>
      <c r="I21" s="72"/>
      <c r="J21" s="73"/>
      <c r="K21" s="74"/>
    </row>
    <row r="23" spans="1:15" x14ac:dyDescent="0.25">
      <c r="O23" s="46" t="s">
        <v>212</v>
      </c>
    </row>
    <row r="24" spans="1:15" x14ac:dyDescent="0.25">
      <c r="A24" s="83"/>
      <c r="B24" s="83"/>
      <c r="C24" s="83"/>
      <c r="D24" s="83"/>
      <c r="E24" s="83"/>
      <c r="F24" s="83"/>
      <c r="G24" s="83"/>
      <c r="H24" s="83"/>
      <c r="I24" s="83"/>
    </row>
    <row r="25" spans="1:15" x14ac:dyDescent="0.25">
      <c r="A25" s="83"/>
      <c r="B25" s="83"/>
      <c r="C25" s="83"/>
      <c r="D25" s="83"/>
      <c r="E25" s="83"/>
      <c r="F25" s="83"/>
      <c r="G25" s="83"/>
      <c r="H25" s="83"/>
      <c r="I25" s="83"/>
    </row>
    <row r="26" spans="1:15" x14ac:dyDescent="0.25">
      <c r="B26" s="83"/>
      <c r="C26" s="83"/>
      <c r="D26" s="83"/>
      <c r="E26" s="83"/>
      <c r="F26" s="83"/>
      <c r="G26" s="83"/>
      <c r="H26" s="83"/>
    </row>
    <row r="27" spans="1:15" x14ac:dyDescent="0.25">
      <c r="A27" s="83"/>
      <c r="B27" s="83"/>
      <c r="C27" s="83"/>
      <c r="D27" s="83"/>
      <c r="E27" s="83"/>
      <c r="F27" s="83"/>
      <c r="G27" s="83"/>
      <c r="H27" s="83"/>
      <c r="I27" s="83"/>
    </row>
    <row r="28" spans="1:15" x14ac:dyDescent="0.25">
      <c r="A28" s="83"/>
      <c r="B28" s="83"/>
      <c r="C28" s="83"/>
      <c r="D28" s="83"/>
      <c r="E28" s="83"/>
      <c r="F28" s="83"/>
      <c r="G28" s="83"/>
      <c r="H28" s="83"/>
      <c r="I28" s="83"/>
    </row>
    <row r="29" spans="1:15" x14ac:dyDescent="0.25">
      <c r="A29" s="83"/>
      <c r="B29" s="83"/>
      <c r="C29" s="83"/>
      <c r="D29" s="83"/>
      <c r="E29" s="83"/>
      <c r="F29" s="83"/>
      <c r="G29" s="83"/>
      <c r="H29" s="83"/>
      <c r="I29" s="83"/>
    </row>
    <row r="30" spans="1:15" x14ac:dyDescent="0.25">
      <c r="A30" s="83"/>
      <c r="B30" s="83"/>
      <c r="C30" s="83"/>
      <c r="D30" s="83"/>
      <c r="E30" s="83"/>
      <c r="F30" s="83"/>
      <c r="G30" s="83"/>
      <c r="H30" s="83"/>
      <c r="I30" s="83"/>
    </row>
    <row r="31" spans="1:15" x14ac:dyDescent="0.25">
      <c r="A31" s="83"/>
      <c r="B31" s="83"/>
      <c r="C31" s="83"/>
      <c r="D31" s="83"/>
      <c r="E31" s="83"/>
      <c r="F31" s="83"/>
      <c r="G31" s="83"/>
      <c r="H31" s="83"/>
      <c r="I31" s="83"/>
    </row>
    <row r="32" spans="1:15" x14ac:dyDescent="0.25">
      <c r="A32" s="83"/>
      <c r="B32" s="83"/>
      <c r="C32" s="83"/>
      <c r="D32" s="83"/>
      <c r="E32" s="83"/>
      <c r="F32" s="83"/>
      <c r="G32" s="83"/>
      <c r="H32" s="83"/>
      <c r="I32" s="83"/>
    </row>
    <row r="33" spans="1:9" x14ac:dyDescent="0.25">
      <c r="A33" s="83"/>
      <c r="B33" s="83"/>
      <c r="C33" s="83"/>
      <c r="D33" s="83"/>
      <c r="E33" s="83"/>
      <c r="F33" s="83"/>
      <c r="G33" s="83"/>
      <c r="H33" s="83"/>
      <c r="I33" s="83"/>
    </row>
    <row r="34" spans="1:9" x14ac:dyDescent="0.25">
      <c r="A34" s="83"/>
      <c r="B34" s="83"/>
      <c r="C34" s="83"/>
      <c r="D34" s="83"/>
      <c r="E34" s="83"/>
      <c r="F34" s="83"/>
      <c r="G34" s="84"/>
      <c r="H34" s="83"/>
      <c r="I34" s="83"/>
    </row>
    <row r="35" spans="1:9" x14ac:dyDescent="0.25">
      <c r="A35" s="85"/>
      <c r="B35" s="85"/>
      <c r="C35" s="85"/>
      <c r="D35" s="85"/>
      <c r="E35" s="85"/>
      <c r="F35" s="85"/>
      <c r="G35" s="86"/>
      <c r="H35" s="85"/>
      <c r="I35" s="83"/>
    </row>
    <row r="36" spans="1:9" x14ac:dyDescent="0.25">
      <c r="A36" s="83"/>
      <c r="B36" s="83"/>
      <c r="C36" s="83"/>
      <c r="D36" s="83"/>
      <c r="E36" s="83"/>
      <c r="F36" s="83"/>
      <c r="G36" s="84"/>
      <c r="H36" s="83"/>
      <c r="I36" s="83"/>
    </row>
    <row r="37" spans="1:9" x14ac:dyDescent="0.25">
      <c r="A37" s="83"/>
      <c r="B37" s="83"/>
      <c r="C37" s="83"/>
      <c r="D37" s="83"/>
      <c r="E37" s="83"/>
      <c r="F37" s="83"/>
      <c r="G37" s="84"/>
      <c r="H37" s="83"/>
      <c r="I37" s="83"/>
    </row>
    <row r="38" spans="1:9" x14ac:dyDescent="0.25">
      <c r="A38" s="83"/>
      <c r="B38" s="83"/>
      <c r="C38" s="83"/>
      <c r="D38" s="83"/>
      <c r="E38" s="83"/>
      <c r="F38" s="83"/>
      <c r="G38" s="84"/>
      <c r="H38" s="83"/>
      <c r="I38" s="83"/>
    </row>
    <row r="39" spans="1:9" x14ac:dyDescent="0.25">
      <c r="A39" s="83"/>
      <c r="B39" s="83"/>
      <c r="C39" s="83"/>
      <c r="D39" s="83"/>
      <c r="E39" s="83"/>
      <c r="F39" s="83"/>
      <c r="G39" s="84"/>
      <c r="H39" s="83"/>
      <c r="I39" s="83"/>
    </row>
    <row r="40" spans="1:9" x14ac:dyDescent="0.25">
      <c r="A40" s="83"/>
      <c r="B40" s="83"/>
      <c r="C40" s="83"/>
      <c r="D40" s="83"/>
      <c r="E40" s="83"/>
      <c r="F40" s="83"/>
      <c r="G40" s="84"/>
      <c r="H40" s="83"/>
      <c r="I40" s="83"/>
    </row>
    <row r="41" spans="1:9" x14ac:dyDescent="0.25">
      <c r="A41" s="83"/>
      <c r="B41" s="83"/>
      <c r="C41" s="83"/>
      <c r="D41" s="83"/>
      <c r="E41" s="83"/>
      <c r="F41" s="83"/>
      <c r="G41" s="84"/>
      <c r="H41" s="83"/>
      <c r="I41" s="83"/>
    </row>
    <row r="42" spans="1:9" x14ac:dyDescent="0.25">
      <c r="A42" s="83"/>
      <c r="B42" s="83"/>
      <c r="C42" s="83"/>
      <c r="D42" s="83"/>
      <c r="E42" s="83"/>
      <c r="F42" s="83"/>
      <c r="G42" s="83"/>
      <c r="H42" s="83"/>
      <c r="I42" s="83"/>
    </row>
    <row r="43" spans="1:9" x14ac:dyDescent="0.25">
      <c r="A43" s="83"/>
      <c r="B43" s="83"/>
      <c r="C43" s="83"/>
      <c r="D43" s="83"/>
      <c r="E43" s="83"/>
      <c r="F43" s="83"/>
      <c r="G43" s="83"/>
      <c r="H43" s="83"/>
      <c r="I43" s="83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6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D9" sqref="D9:D42"/>
    </sheetView>
  </sheetViews>
  <sheetFormatPr defaultRowHeight="15" x14ac:dyDescent="0.25"/>
  <cols>
    <col min="1" max="1" width="16" customWidth="1"/>
    <col min="2" max="2" width="11.7109375" customWidth="1"/>
    <col min="3" max="3" width="27.5703125" customWidth="1"/>
    <col min="4" max="4" width="11.7109375" customWidth="1"/>
  </cols>
  <sheetData>
    <row r="1" spans="1:4" x14ac:dyDescent="0.25">
      <c r="B1" t="s">
        <v>49</v>
      </c>
      <c r="C1" t="s">
        <v>50</v>
      </c>
      <c r="D1" t="s">
        <v>51</v>
      </c>
    </row>
    <row r="2" spans="1:4" x14ac:dyDescent="0.25">
      <c r="A2" t="s">
        <v>132</v>
      </c>
      <c r="B2">
        <v>0.57399999999999995</v>
      </c>
      <c r="C2">
        <v>0.60299999999999998</v>
      </c>
      <c r="D2">
        <v>0.63200000000000001</v>
      </c>
    </row>
    <row r="3" spans="1:4" x14ac:dyDescent="0.25">
      <c r="A3" t="s">
        <v>131</v>
      </c>
      <c r="B3">
        <v>0.35899999999999999</v>
      </c>
      <c r="C3">
        <v>0.28899999999999998</v>
      </c>
      <c r="D3">
        <v>0.35499999999999998</v>
      </c>
    </row>
    <row r="4" spans="1:4" x14ac:dyDescent="0.25">
      <c r="A4" t="s">
        <v>130</v>
      </c>
      <c r="B4">
        <f>B3/SQRT(27)</f>
        <v>6.9089582213025205E-2</v>
      </c>
      <c r="C4">
        <f>C3/SQRT(28)</f>
        <v>5.4615866349833328E-2</v>
      </c>
      <c r="D4">
        <f>D3/SQRT(34)</f>
        <v>6.0881997725590629E-2</v>
      </c>
    </row>
    <row r="8" spans="1:4" x14ac:dyDescent="0.25">
      <c r="B8" s="118" t="s">
        <v>133</v>
      </c>
      <c r="C8" s="118"/>
      <c r="D8" s="118"/>
    </row>
    <row r="9" spans="1:4" x14ac:dyDescent="0.25">
      <c r="B9">
        <v>0</v>
      </c>
      <c r="C9">
        <v>0.125</v>
      </c>
      <c r="D9">
        <v>0</v>
      </c>
    </row>
    <row r="10" spans="1:4" x14ac:dyDescent="0.25">
      <c r="B10">
        <v>0</v>
      </c>
      <c r="C10">
        <v>0.125</v>
      </c>
      <c r="D10">
        <v>0</v>
      </c>
    </row>
    <row r="11" spans="1:4" x14ac:dyDescent="0.25">
      <c r="B11">
        <v>0</v>
      </c>
      <c r="C11">
        <v>0.25</v>
      </c>
      <c r="D11">
        <v>0</v>
      </c>
    </row>
    <row r="12" spans="1:4" x14ac:dyDescent="0.25">
      <c r="B12">
        <v>0.25</v>
      </c>
      <c r="C12">
        <v>0.25</v>
      </c>
      <c r="D12">
        <v>0</v>
      </c>
    </row>
    <row r="13" spans="1:4" x14ac:dyDescent="0.25">
      <c r="B13">
        <v>0.25</v>
      </c>
      <c r="C13">
        <v>0.25</v>
      </c>
      <c r="D13">
        <v>0</v>
      </c>
    </row>
    <row r="14" spans="1:4" x14ac:dyDescent="0.25">
      <c r="B14">
        <v>0.25</v>
      </c>
      <c r="C14">
        <v>0.375</v>
      </c>
      <c r="D14">
        <v>0.25</v>
      </c>
    </row>
    <row r="15" spans="1:4" x14ac:dyDescent="0.25">
      <c r="B15">
        <v>0.25</v>
      </c>
      <c r="C15">
        <v>0.375</v>
      </c>
      <c r="D15">
        <v>0.25</v>
      </c>
    </row>
    <row r="16" spans="1:4" x14ac:dyDescent="0.25">
      <c r="B16">
        <v>0.25</v>
      </c>
      <c r="C16">
        <v>0.375</v>
      </c>
      <c r="D16">
        <v>0.25</v>
      </c>
    </row>
    <row r="17" spans="2:4" x14ac:dyDescent="0.25">
      <c r="B17">
        <v>0.25</v>
      </c>
      <c r="C17">
        <v>0.375</v>
      </c>
      <c r="D17">
        <v>0.5</v>
      </c>
    </row>
    <row r="18" spans="2:4" x14ac:dyDescent="0.25">
      <c r="B18">
        <v>0.25</v>
      </c>
      <c r="C18">
        <v>0.5</v>
      </c>
      <c r="D18">
        <v>0.5</v>
      </c>
    </row>
    <row r="19" spans="2:4" x14ac:dyDescent="0.25">
      <c r="B19">
        <v>0.5</v>
      </c>
      <c r="C19">
        <v>0.5</v>
      </c>
      <c r="D19">
        <v>0.5</v>
      </c>
    </row>
    <row r="20" spans="2:4" x14ac:dyDescent="0.25">
      <c r="B20">
        <v>0.5</v>
      </c>
      <c r="C20">
        <v>0.5</v>
      </c>
      <c r="D20">
        <v>0.5</v>
      </c>
    </row>
    <row r="21" spans="2:4" x14ac:dyDescent="0.25">
      <c r="B21">
        <v>0.5</v>
      </c>
      <c r="C21">
        <v>0.5</v>
      </c>
      <c r="D21">
        <v>0.5</v>
      </c>
    </row>
    <row r="22" spans="2:4" x14ac:dyDescent="0.25">
      <c r="B22">
        <v>0.5</v>
      </c>
      <c r="C22">
        <v>0.5</v>
      </c>
      <c r="D22">
        <v>0.5</v>
      </c>
    </row>
    <row r="23" spans="2:4" x14ac:dyDescent="0.25">
      <c r="B23">
        <v>0.75</v>
      </c>
      <c r="C23">
        <v>0.625</v>
      </c>
      <c r="D23">
        <v>0.75</v>
      </c>
    </row>
    <row r="24" spans="2:4" x14ac:dyDescent="0.25">
      <c r="B24">
        <v>0.75</v>
      </c>
      <c r="C24">
        <v>0.625</v>
      </c>
      <c r="D24">
        <v>0.75</v>
      </c>
    </row>
    <row r="25" spans="2:4" x14ac:dyDescent="0.25">
      <c r="B25">
        <v>0.75</v>
      </c>
      <c r="C25">
        <v>0.625</v>
      </c>
      <c r="D25">
        <v>0.75</v>
      </c>
    </row>
    <row r="26" spans="2:4" x14ac:dyDescent="0.25">
      <c r="B26">
        <v>0.75</v>
      </c>
      <c r="C26">
        <v>0.75</v>
      </c>
      <c r="D26">
        <v>0.75</v>
      </c>
    </row>
    <row r="27" spans="2:4" x14ac:dyDescent="0.25">
      <c r="B27">
        <v>0.75</v>
      </c>
      <c r="C27">
        <v>0.75</v>
      </c>
      <c r="D27">
        <v>0.75</v>
      </c>
    </row>
    <row r="28" spans="2:4" x14ac:dyDescent="0.25">
      <c r="B28">
        <v>1</v>
      </c>
      <c r="C28">
        <v>0.75</v>
      </c>
      <c r="D28">
        <v>0.75</v>
      </c>
    </row>
    <row r="29" spans="2:4" x14ac:dyDescent="0.25">
      <c r="B29">
        <v>1</v>
      </c>
      <c r="C29">
        <v>0.875</v>
      </c>
      <c r="D29">
        <v>0.75</v>
      </c>
    </row>
    <row r="30" spans="2:4" x14ac:dyDescent="0.25">
      <c r="B30">
        <v>1</v>
      </c>
      <c r="C30">
        <v>0.875</v>
      </c>
      <c r="D30">
        <v>0.75</v>
      </c>
    </row>
    <row r="31" spans="2:4" x14ac:dyDescent="0.25">
      <c r="B31">
        <v>1</v>
      </c>
      <c r="C31">
        <v>1</v>
      </c>
      <c r="D31">
        <v>0.75</v>
      </c>
    </row>
    <row r="32" spans="2:4" x14ac:dyDescent="0.25">
      <c r="B32">
        <v>1</v>
      </c>
      <c r="C32">
        <v>1</v>
      </c>
      <c r="D32">
        <v>1</v>
      </c>
    </row>
    <row r="33" spans="1:4" x14ac:dyDescent="0.25">
      <c r="B33">
        <v>1</v>
      </c>
      <c r="C33">
        <v>1</v>
      </c>
      <c r="D33">
        <v>1</v>
      </c>
    </row>
    <row r="34" spans="1:4" x14ac:dyDescent="0.25">
      <c r="B34">
        <v>1</v>
      </c>
      <c r="C34">
        <v>1</v>
      </c>
      <c r="D34">
        <v>1</v>
      </c>
    </row>
    <row r="35" spans="1:4" x14ac:dyDescent="0.25">
      <c r="B35">
        <v>1</v>
      </c>
      <c r="C35">
        <v>1</v>
      </c>
      <c r="D35">
        <v>1</v>
      </c>
    </row>
    <row r="36" spans="1:4" x14ac:dyDescent="0.25">
      <c r="C36">
        <v>1</v>
      </c>
      <c r="D36">
        <v>1</v>
      </c>
    </row>
    <row r="37" spans="1:4" x14ac:dyDescent="0.25">
      <c r="D37">
        <v>1</v>
      </c>
    </row>
    <row r="38" spans="1:4" x14ac:dyDescent="0.25">
      <c r="D38">
        <v>1</v>
      </c>
    </row>
    <row r="39" spans="1:4" x14ac:dyDescent="0.25">
      <c r="D39">
        <v>1</v>
      </c>
    </row>
    <row r="40" spans="1:4" x14ac:dyDescent="0.25">
      <c r="D40">
        <v>1</v>
      </c>
    </row>
    <row r="41" spans="1:4" x14ac:dyDescent="0.25">
      <c r="D41">
        <v>1</v>
      </c>
    </row>
    <row r="42" spans="1:4" x14ac:dyDescent="0.25">
      <c r="D42">
        <v>1</v>
      </c>
    </row>
    <row r="43" spans="1:4" x14ac:dyDescent="0.25">
      <c r="A43" t="s">
        <v>23</v>
      </c>
      <c r="B43">
        <f>AVERAGE(B9:B35)</f>
        <v>0.57407407407407407</v>
      </c>
      <c r="C43">
        <f>AVERAGE(C9:C36)</f>
        <v>0.6026785714285714</v>
      </c>
      <c r="D43">
        <f>AVERAGE(D9:D42)</f>
        <v>0.63235294117647056</v>
      </c>
    </row>
    <row r="44" spans="1:4" x14ac:dyDescent="0.25">
      <c r="A44" t="s">
        <v>132</v>
      </c>
      <c r="B44">
        <v>0.57399999999999995</v>
      </c>
      <c r="C44">
        <v>0.60299999999999998</v>
      </c>
      <c r="D44">
        <v>0.63200000000000001</v>
      </c>
    </row>
    <row r="45" spans="1:4" x14ac:dyDescent="0.25">
      <c r="A45" t="s">
        <v>12</v>
      </c>
      <c r="B45">
        <f>_xlfn.STDEV.S(B9:B35)</f>
        <v>0.35905066344093961</v>
      </c>
      <c r="C45">
        <f>_xlfn.STDEV.S(C9:C36)</f>
        <v>0.28878250864896116</v>
      </c>
      <c r="D45">
        <f>_xlfn.STDEV.S(D9:D42)</f>
        <v>0.35481159168937526</v>
      </c>
    </row>
    <row r="46" spans="1:4" x14ac:dyDescent="0.25">
      <c r="A46" t="s">
        <v>131</v>
      </c>
      <c r="B46">
        <v>0.35899999999999999</v>
      </c>
      <c r="C46">
        <v>0.28899999999999998</v>
      </c>
      <c r="D46">
        <v>0.35499999999999998</v>
      </c>
    </row>
    <row r="47" spans="1:4" x14ac:dyDescent="0.25">
      <c r="A47" t="s">
        <v>130</v>
      </c>
      <c r="B47">
        <f>B46/SQRT(27)</f>
        <v>6.9089582213025205E-2</v>
      </c>
      <c r="C47">
        <f>C46/SQRT(28)</f>
        <v>5.4615866349833328E-2</v>
      </c>
      <c r="D47">
        <f>D46/SQRT(34)</f>
        <v>6.0881997725590629E-2</v>
      </c>
    </row>
    <row r="48" spans="1:4" x14ac:dyDescent="0.25">
      <c r="A48" t="s">
        <v>97</v>
      </c>
      <c r="B48">
        <f>SUM(B9:B35)*4</f>
        <v>62</v>
      </c>
      <c r="C48">
        <f>SUM(C9:C36)*8</f>
        <v>135</v>
      </c>
      <c r="D48">
        <f>SUM(D9:D42)*4</f>
        <v>86</v>
      </c>
    </row>
    <row r="49" spans="1:4" x14ac:dyDescent="0.25">
      <c r="A49" t="s">
        <v>47</v>
      </c>
      <c r="B49">
        <f>27*4</f>
        <v>108</v>
      </c>
      <c r="C49">
        <v>224</v>
      </c>
      <c r="D49">
        <v>136</v>
      </c>
    </row>
  </sheetData>
  <mergeCells count="1">
    <mergeCell ref="B8:D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5"/>
  <sheetViews>
    <sheetView zoomScale="85" zoomScaleNormal="85" workbookViewId="0">
      <selection activeCell="U7" sqref="U7"/>
    </sheetView>
  </sheetViews>
  <sheetFormatPr defaultColWidth="12.42578125" defaultRowHeight="15.75" x14ac:dyDescent="0.25"/>
  <cols>
    <col min="1" max="15" width="9.85546875" style="57" customWidth="1"/>
    <col min="16" max="16384" width="12.42578125" style="57"/>
  </cols>
  <sheetData>
    <row r="1" spans="1:21" x14ac:dyDescent="0.25">
      <c r="A1" s="57" t="s">
        <v>201</v>
      </c>
      <c r="Q1" s="47" t="s">
        <v>90</v>
      </c>
      <c r="R1" s="48" t="s">
        <v>90</v>
      </c>
      <c r="S1" s="48" t="s">
        <v>134</v>
      </c>
      <c r="T1" s="48"/>
      <c r="U1" s="49" t="s">
        <v>191</v>
      </c>
    </row>
    <row r="2" spans="1:21" x14ac:dyDescent="0.25">
      <c r="A2" s="50" t="s">
        <v>30</v>
      </c>
      <c r="B2" s="109"/>
      <c r="C2" s="51" t="s">
        <v>158</v>
      </c>
      <c r="D2" s="51" t="s">
        <v>159</v>
      </c>
      <c r="E2" s="51" t="s">
        <v>160</v>
      </c>
      <c r="F2" s="108" t="s">
        <v>161</v>
      </c>
      <c r="G2" s="108" t="s">
        <v>162</v>
      </c>
      <c r="H2" s="108" t="s">
        <v>163</v>
      </c>
      <c r="I2" s="108" t="s">
        <v>164</v>
      </c>
      <c r="J2" s="108" t="s">
        <v>165</v>
      </c>
      <c r="K2" s="108" t="s">
        <v>204</v>
      </c>
      <c r="L2" s="51" t="s">
        <v>200</v>
      </c>
      <c r="M2" s="51" t="s">
        <v>199</v>
      </c>
      <c r="N2" s="51" t="s">
        <v>203</v>
      </c>
      <c r="O2" s="86" t="s">
        <v>192</v>
      </c>
      <c r="P2" s="89"/>
      <c r="Q2" s="54" t="s">
        <v>193</v>
      </c>
      <c r="R2" s="55">
        <f>SUM(C4:N6)</f>
        <v>192</v>
      </c>
      <c r="S2" s="55">
        <v>360</v>
      </c>
      <c r="T2" s="107">
        <f>R2/S2</f>
        <v>0.53333333333333333</v>
      </c>
      <c r="U2" s="106">
        <f>AVERAGE(C7:N7)/100</f>
        <v>0.53333333333333344</v>
      </c>
    </row>
    <row r="3" spans="1:21" x14ac:dyDescent="0.25">
      <c r="A3" s="50" t="s">
        <v>194</v>
      </c>
      <c r="B3" s="66"/>
      <c r="F3" s="87"/>
      <c r="G3" s="87"/>
      <c r="H3" s="87"/>
      <c r="I3" s="87"/>
      <c r="J3" s="87"/>
      <c r="K3" s="87"/>
      <c r="L3" s="87"/>
      <c r="M3" s="87"/>
      <c r="N3" s="87"/>
      <c r="O3" s="94"/>
      <c r="P3" s="89"/>
      <c r="Q3" s="59" t="s">
        <v>195</v>
      </c>
      <c r="R3" s="55">
        <f>SUM(C8:N10)</f>
        <v>219</v>
      </c>
      <c r="S3" s="55">
        <v>360</v>
      </c>
      <c r="T3" s="107">
        <f>R3/S3</f>
        <v>0.60833333333333328</v>
      </c>
      <c r="U3" s="106">
        <f>AVERAGE(C11:N11)/100</f>
        <v>0.60833333333333339</v>
      </c>
    </row>
    <row r="4" spans="1:21" x14ac:dyDescent="0.25">
      <c r="A4" s="105">
        <v>1</v>
      </c>
      <c r="B4" s="61" t="s">
        <v>210</v>
      </c>
      <c r="C4" s="99">
        <v>7</v>
      </c>
      <c r="D4" s="99">
        <v>6</v>
      </c>
      <c r="E4" s="99">
        <v>9</v>
      </c>
      <c r="F4" s="99">
        <v>4</v>
      </c>
      <c r="G4" s="99">
        <v>3</v>
      </c>
      <c r="H4" s="99">
        <v>5</v>
      </c>
      <c r="I4" s="99">
        <v>5</v>
      </c>
      <c r="J4" s="99">
        <v>6</v>
      </c>
      <c r="K4" s="99">
        <v>8</v>
      </c>
      <c r="L4" s="99">
        <v>4</v>
      </c>
      <c r="M4" s="99">
        <v>6</v>
      </c>
      <c r="N4" s="99">
        <v>7</v>
      </c>
      <c r="O4" s="98"/>
      <c r="P4" s="89"/>
      <c r="Q4" s="59" t="s">
        <v>196</v>
      </c>
      <c r="R4" s="55">
        <f>SUM(C12:N14)</f>
        <v>198</v>
      </c>
      <c r="S4" s="55">
        <v>360</v>
      </c>
      <c r="T4" s="107">
        <f>R4/S4</f>
        <v>0.55000000000000004</v>
      </c>
      <c r="U4" s="106">
        <f>AVERAGE(C15:N15)/100</f>
        <v>0.55000000000000004</v>
      </c>
    </row>
    <row r="5" spans="1:21" x14ac:dyDescent="0.25">
      <c r="A5" s="50"/>
      <c r="B5" s="66" t="s">
        <v>209</v>
      </c>
      <c r="C5" s="97">
        <v>9</v>
      </c>
      <c r="D5" s="97">
        <v>7</v>
      </c>
      <c r="E5" s="97">
        <v>7</v>
      </c>
      <c r="F5" s="97">
        <v>6</v>
      </c>
      <c r="G5" s="97">
        <v>4</v>
      </c>
      <c r="H5" s="97">
        <v>3</v>
      </c>
      <c r="I5" s="97">
        <v>4</v>
      </c>
      <c r="J5" s="97">
        <v>5</v>
      </c>
      <c r="K5" s="97">
        <v>5</v>
      </c>
      <c r="L5" s="97">
        <v>6</v>
      </c>
      <c r="M5" s="97">
        <v>3</v>
      </c>
      <c r="N5" s="97">
        <v>4</v>
      </c>
      <c r="O5" s="96">
        <f>AVERAGE(C4:N6)*10</f>
        <v>53.333333333333329</v>
      </c>
      <c r="P5" s="89"/>
      <c r="Q5" s="59" t="s">
        <v>197</v>
      </c>
      <c r="R5" s="55">
        <f>SUM(C16:N18)</f>
        <v>210</v>
      </c>
      <c r="S5" s="55">
        <v>360</v>
      </c>
      <c r="T5" s="107">
        <f>R5/S5</f>
        <v>0.58333333333333337</v>
      </c>
      <c r="U5" s="106">
        <f>AVERAGE(C19:N19)/100</f>
        <v>0.58333333333333337</v>
      </c>
    </row>
    <row r="6" spans="1:21" x14ac:dyDescent="0.25">
      <c r="A6" s="50"/>
      <c r="B6" s="66" t="s">
        <v>208</v>
      </c>
      <c r="C6" s="97">
        <v>6</v>
      </c>
      <c r="D6" s="97">
        <v>5</v>
      </c>
      <c r="E6" s="97">
        <v>7</v>
      </c>
      <c r="F6" s="97">
        <v>6</v>
      </c>
      <c r="G6" s="97">
        <v>6</v>
      </c>
      <c r="H6" s="97">
        <v>3</v>
      </c>
      <c r="I6" s="97">
        <v>5</v>
      </c>
      <c r="J6" s="97">
        <v>6</v>
      </c>
      <c r="K6" s="97">
        <v>3</v>
      </c>
      <c r="L6" s="97">
        <v>3</v>
      </c>
      <c r="M6" s="97">
        <v>4</v>
      </c>
      <c r="N6" s="97">
        <v>5</v>
      </c>
      <c r="O6" s="96"/>
      <c r="P6" s="89"/>
      <c r="Q6" s="59" t="s">
        <v>47</v>
      </c>
      <c r="R6" s="55">
        <f>SUM(R2:R5)</f>
        <v>819</v>
      </c>
      <c r="S6" s="55">
        <f>SUM(S2:S5)</f>
        <v>1440</v>
      </c>
      <c r="T6" s="107">
        <f>R6/S6</f>
        <v>0.56874999999999998</v>
      </c>
      <c r="U6" s="106">
        <f>AVERAGE(C20:N20)</f>
        <v>0.5687500000000002</v>
      </c>
    </row>
    <row r="7" spans="1:21" x14ac:dyDescent="0.25">
      <c r="A7" s="50"/>
      <c r="B7" s="66" t="s">
        <v>198</v>
      </c>
      <c r="C7" s="95">
        <f t="shared" ref="C7:N7" si="0">AVERAGE(C4:C6)*10</f>
        <v>73.333333333333329</v>
      </c>
      <c r="D7" s="95">
        <f t="shared" si="0"/>
        <v>60</v>
      </c>
      <c r="E7" s="95">
        <f t="shared" si="0"/>
        <v>76.666666666666671</v>
      </c>
      <c r="F7" s="95">
        <f t="shared" si="0"/>
        <v>53.333333333333329</v>
      </c>
      <c r="G7" s="95">
        <f t="shared" si="0"/>
        <v>43.333333333333329</v>
      </c>
      <c r="H7" s="95">
        <f t="shared" si="0"/>
        <v>36.666666666666664</v>
      </c>
      <c r="I7" s="95">
        <f t="shared" si="0"/>
        <v>46.666666666666671</v>
      </c>
      <c r="J7" s="95">
        <f t="shared" si="0"/>
        <v>56.666666666666671</v>
      </c>
      <c r="K7" s="95">
        <f t="shared" si="0"/>
        <v>53.333333333333329</v>
      </c>
      <c r="L7" s="95">
        <f t="shared" si="0"/>
        <v>43.333333333333329</v>
      </c>
      <c r="M7" s="95">
        <f t="shared" si="0"/>
        <v>43.333333333333329</v>
      </c>
      <c r="N7" s="95">
        <f t="shared" si="0"/>
        <v>53.333333333333329</v>
      </c>
      <c r="O7" s="94"/>
      <c r="P7" s="89"/>
      <c r="Q7" s="79" t="s">
        <v>9</v>
      </c>
      <c r="R7" s="80"/>
      <c r="S7" s="80"/>
      <c r="T7" s="80"/>
      <c r="U7" s="81">
        <f>_xlfn.STDEV.S(C20:N20)</f>
        <v>9.0252521719713957E-2</v>
      </c>
    </row>
    <row r="8" spans="1:21" x14ac:dyDescent="0.25">
      <c r="A8" s="105">
        <v>2</v>
      </c>
      <c r="B8" s="61" t="s">
        <v>210</v>
      </c>
      <c r="C8" s="99">
        <v>8</v>
      </c>
      <c r="D8" s="99">
        <v>6</v>
      </c>
      <c r="E8" s="99">
        <v>9</v>
      </c>
      <c r="F8" s="99">
        <v>3</v>
      </c>
      <c r="G8" s="99">
        <v>7</v>
      </c>
      <c r="H8" s="99">
        <v>8</v>
      </c>
      <c r="I8" s="99">
        <v>8</v>
      </c>
      <c r="J8" s="99">
        <v>5</v>
      </c>
      <c r="K8" s="99">
        <v>3</v>
      </c>
      <c r="L8" s="99">
        <v>5</v>
      </c>
      <c r="M8" s="99">
        <v>7</v>
      </c>
      <c r="N8" s="97">
        <v>5</v>
      </c>
      <c r="O8" s="98"/>
      <c r="P8" s="89"/>
      <c r="Q8" s="87"/>
      <c r="S8" s="104"/>
    </row>
    <row r="9" spans="1:21" x14ac:dyDescent="0.25">
      <c r="A9" s="50"/>
      <c r="B9" s="66" t="s">
        <v>209</v>
      </c>
      <c r="C9" s="97">
        <v>6</v>
      </c>
      <c r="D9" s="97">
        <v>7</v>
      </c>
      <c r="E9" s="97">
        <v>7</v>
      </c>
      <c r="F9" s="97">
        <v>6</v>
      </c>
      <c r="G9" s="97">
        <v>3</v>
      </c>
      <c r="H9" s="97">
        <v>8</v>
      </c>
      <c r="I9" s="97">
        <v>6</v>
      </c>
      <c r="J9" s="97">
        <v>5</v>
      </c>
      <c r="K9" s="97">
        <v>6</v>
      </c>
      <c r="L9" s="97">
        <v>8</v>
      </c>
      <c r="M9" s="97">
        <v>8</v>
      </c>
      <c r="N9" s="97">
        <v>5</v>
      </c>
      <c r="O9" s="96">
        <f>AVERAGE(C8:N10)*10</f>
        <v>60.833333333333329</v>
      </c>
      <c r="P9" s="89"/>
      <c r="Q9" s="87"/>
    </row>
    <row r="10" spans="1:21" x14ac:dyDescent="0.25">
      <c r="A10" s="50"/>
      <c r="B10" s="66" t="s">
        <v>208</v>
      </c>
      <c r="C10" s="97">
        <v>7</v>
      </c>
      <c r="D10" s="97">
        <v>6</v>
      </c>
      <c r="E10" s="97">
        <v>7</v>
      </c>
      <c r="F10" s="97">
        <v>9</v>
      </c>
      <c r="G10" s="97">
        <v>2</v>
      </c>
      <c r="H10" s="97">
        <v>9</v>
      </c>
      <c r="I10" s="97">
        <v>5</v>
      </c>
      <c r="J10" s="97">
        <v>5</v>
      </c>
      <c r="K10" s="97">
        <v>5</v>
      </c>
      <c r="L10" s="97">
        <v>7</v>
      </c>
      <c r="M10" s="97">
        <v>1</v>
      </c>
      <c r="N10" s="97">
        <v>7</v>
      </c>
      <c r="O10" s="96"/>
      <c r="P10" s="89"/>
      <c r="Q10" s="87"/>
    </row>
    <row r="11" spans="1:21" x14ac:dyDescent="0.25">
      <c r="A11" s="103"/>
      <c r="B11" s="71" t="s">
        <v>198</v>
      </c>
      <c r="C11" s="95">
        <f t="shared" ref="C11:N11" si="1">AVERAGE(C8:C10)*10</f>
        <v>70</v>
      </c>
      <c r="D11" s="95">
        <f t="shared" si="1"/>
        <v>63.333333333333329</v>
      </c>
      <c r="E11" s="95">
        <f t="shared" si="1"/>
        <v>76.666666666666671</v>
      </c>
      <c r="F11" s="95">
        <f t="shared" si="1"/>
        <v>60</v>
      </c>
      <c r="G11" s="95">
        <f t="shared" si="1"/>
        <v>40</v>
      </c>
      <c r="H11" s="95">
        <f t="shared" si="1"/>
        <v>83.333333333333343</v>
      </c>
      <c r="I11" s="95">
        <f t="shared" si="1"/>
        <v>63.333333333333329</v>
      </c>
      <c r="J11" s="95">
        <f t="shared" si="1"/>
        <v>50</v>
      </c>
      <c r="K11" s="95">
        <f t="shared" si="1"/>
        <v>46.666666666666671</v>
      </c>
      <c r="L11" s="95">
        <f t="shared" si="1"/>
        <v>66.666666666666671</v>
      </c>
      <c r="M11" s="95">
        <f t="shared" si="1"/>
        <v>53.333333333333329</v>
      </c>
      <c r="N11" s="95">
        <f t="shared" si="1"/>
        <v>56.666666666666671</v>
      </c>
      <c r="O11" s="94"/>
      <c r="P11" s="89"/>
      <c r="Q11" s="87"/>
    </row>
    <row r="12" spans="1:21" x14ac:dyDescent="0.25">
      <c r="A12" s="102">
        <v>3</v>
      </c>
      <c r="B12" s="61" t="s">
        <v>210</v>
      </c>
      <c r="C12" s="99">
        <v>7</v>
      </c>
      <c r="D12" s="99">
        <v>6</v>
      </c>
      <c r="E12" s="99">
        <v>8</v>
      </c>
      <c r="F12" s="99">
        <v>6</v>
      </c>
      <c r="G12" s="99">
        <v>6</v>
      </c>
      <c r="H12" s="99">
        <v>6</v>
      </c>
      <c r="I12" s="99">
        <v>3</v>
      </c>
      <c r="J12" s="99">
        <v>5</v>
      </c>
      <c r="K12" s="99">
        <v>5</v>
      </c>
      <c r="L12" s="99">
        <v>7</v>
      </c>
      <c r="M12" s="99">
        <v>4</v>
      </c>
      <c r="N12" s="97">
        <v>7</v>
      </c>
      <c r="O12" s="98"/>
      <c r="P12" s="89"/>
      <c r="Q12" s="87"/>
    </row>
    <row r="13" spans="1:21" x14ac:dyDescent="0.25">
      <c r="A13" s="101"/>
      <c r="B13" s="66" t="s">
        <v>209</v>
      </c>
      <c r="C13" s="97">
        <v>8</v>
      </c>
      <c r="D13" s="97">
        <v>7</v>
      </c>
      <c r="E13" s="97">
        <v>5</v>
      </c>
      <c r="F13" s="97">
        <v>3</v>
      </c>
      <c r="G13" s="97">
        <v>3</v>
      </c>
      <c r="H13" s="97">
        <v>7</v>
      </c>
      <c r="I13" s="97">
        <v>6</v>
      </c>
      <c r="J13" s="97">
        <v>7</v>
      </c>
      <c r="K13" s="97">
        <v>3</v>
      </c>
      <c r="L13" s="97">
        <v>7</v>
      </c>
      <c r="M13" s="97">
        <v>4</v>
      </c>
      <c r="N13" s="97">
        <v>7</v>
      </c>
      <c r="O13" s="96">
        <f>AVERAGE(C12:N14)*10</f>
        <v>55</v>
      </c>
      <c r="P13" s="89"/>
      <c r="Q13" s="90"/>
      <c r="R13" s="90"/>
      <c r="S13" s="90"/>
      <c r="T13" s="90"/>
      <c r="U13" s="90"/>
    </row>
    <row r="14" spans="1:21" x14ac:dyDescent="0.25">
      <c r="A14" s="101"/>
      <c r="B14" s="66" t="s">
        <v>208</v>
      </c>
      <c r="C14" s="97">
        <v>7</v>
      </c>
      <c r="D14" s="97">
        <v>6</v>
      </c>
      <c r="E14" s="97">
        <v>7</v>
      </c>
      <c r="F14" s="97">
        <v>5</v>
      </c>
      <c r="G14" s="97">
        <v>5</v>
      </c>
      <c r="H14" s="97">
        <v>6</v>
      </c>
      <c r="I14" s="97">
        <v>6</v>
      </c>
      <c r="J14" s="97">
        <v>1</v>
      </c>
      <c r="K14" s="97">
        <v>6</v>
      </c>
      <c r="L14" s="97">
        <v>5</v>
      </c>
      <c r="M14" s="97">
        <v>4</v>
      </c>
      <c r="N14" s="97">
        <v>3</v>
      </c>
      <c r="O14" s="96"/>
      <c r="P14" s="89"/>
      <c r="Q14" s="90"/>
      <c r="R14" s="90"/>
      <c r="S14" s="90"/>
      <c r="T14" s="90"/>
      <c r="U14" s="90"/>
    </row>
    <row r="15" spans="1:21" x14ac:dyDescent="0.25">
      <c r="A15" s="100"/>
      <c r="B15" s="71" t="s">
        <v>198</v>
      </c>
      <c r="C15" s="95">
        <f t="shared" ref="C15:N15" si="2">AVERAGE(C12:C14)*10</f>
        <v>73.333333333333329</v>
      </c>
      <c r="D15" s="95">
        <f t="shared" si="2"/>
        <v>63.333333333333329</v>
      </c>
      <c r="E15" s="95">
        <f t="shared" si="2"/>
        <v>66.666666666666671</v>
      </c>
      <c r="F15" s="95">
        <f t="shared" si="2"/>
        <v>46.666666666666671</v>
      </c>
      <c r="G15" s="95">
        <f t="shared" si="2"/>
        <v>46.666666666666671</v>
      </c>
      <c r="H15" s="95">
        <f t="shared" si="2"/>
        <v>63.333333333333329</v>
      </c>
      <c r="I15" s="95">
        <f t="shared" si="2"/>
        <v>50</v>
      </c>
      <c r="J15" s="95">
        <f t="shared" si="2"/>
        <v>43.333333333333329</v>
      </c>
      <c r="K15" s="95">
        <f t="shared" si="2"/>
        <v>46.666666666666671</v>
      </c>
      <c r="L15" s="95">
        <f t="shared" si="2"/>
        <v>63.333333333333329</v>
      </c>
      <c r="M15" s="95">
        <f t="shared" si="2"/>
        <v>40</v>
      </c>
      <c r="N15" s="95">
        <f t="shared" si="2"/>
        <v>56.666666666666671</v>
      </c>
      <c r="O15" s="84"/>
      <c r="P15" s="89"/>
      <c r="Q15" s="90"/>
      <c r="R15" s="90"/>
      <c r="S15" s="90"/>
      <c r="T15" s="90"/>
      <c r="U15" s="90"/>
    </row>
    <row r="16" spans="1:21" x14ac:dyDescent="0.25">
      <c r="A16" s="50">
        <v>4</v>
      </c>
      <c r="B16" s="61" t="s">
        <v>210</v>
      </c>
      <c r="C16" s="99">
        <v>7</v>
      </c>
      <c r="D16" s="99">
        <v>5</v>
      </c>
      <c r="E16" s="99">
        <v>7</v>
      </c>
      <c r="F16" s="99">
        <v>5</v>
      </c>
      <c r="G16" s="99">
        <v>4</v>
      </c>
      <c r="H16" s="99">
        <v>7</v>
      </c>
      <c r="I16" s="99">
        <v>5</v>
      </c>
      <c r="J16" s="99">
        <v>6</v>
      </c>
      <c r="K16" s="99">
        <v>4</v>
      </c>
      <c r="L16" s="99">
        <v>5</v>
      </c>
      <c r="M16" s="99">
        <v>6</v>
      </c>
      <c r="N16" s="97">
        <v>5</v>
      </c>
      <c r="O16" s="98"/>
      <c r="P16" s="89"/>
      <c r="Q16" s="88"/>
      <c r="R16" s="88"/>
      <c r="S16" s="88"/>
      <c r="T16" s="88"/>
      <c r="U16" s="88"/>
    </row>
    <row r="17" spans="1:32" x14ac:dyDescent="0.25">
      <c r="A17" s="50"/>
      <c r="B17" s="66" t="s">
        <v>209</v>
      </c>
      <c r="C17" s="97">
        <v>7</v>
      </c>
      <c r="D17" s="97">
        <v>8</v>
      </c>
      <c r="E17" s="97">
        <v>9</v>
      </c>
      <c r="F17" s="97">
        <v>8</v>
      </c>
      <c r="G17" s="97">
        <v>6</v>
      </c>
      <c r="H17" s="97">
        <v>5</v>
      </c>
      <c r="I17" s="97">
        <v>6</v>
      </c>
      <c r="J17" s="97">
        <v>6</v>
      </c>
      <c r="K17" s="97">
        <v>6</v>
      </c>
      <c r="L17" s="97">
        <v>5</v>
      </c>
      <c r="M17" s="97">
        <v>8</v>
      </c>
      <c r="N17" s="97">
        <v>6</v>
      </c>
      <c r="O17" s="96">
        <f>AVERAGE(C16:N18)*10</f>
        <v>58.333333333333329</v>
      </c>
      <c r="P17" s="89"/>
      <c r="Q17" s="88"/>
      <c r="R17" s="88"/>
      <c r="S17" s="88"/>
      <c r="T17" s="88"/>
      <c r="U17" s="88"/>
    </row>
    <row r="18" spans="1:32" x14ac:dyDescent="0.25">
      <c r="A18" s="50"/>
      <c r="B18" s="66" t="s">
        <v>208</v>
      </c>
      <c r="C18" s="97">
        <v>7</v>
      </c>
      <c r="D18" s="97">
        <v>6</v>
      </c>
      <c r="E18" s="97">
        <v>7</v>
      </c>
      <c r="F18" s="97">
        <v>5</v>
      </c>
      <c r="G18" s="97">
        <v>4</v>
      </c>
      <c r="H18" s="97">
        <v>7</v>
      </c>
      <c r="I18" s="97">
        <v>2</v>
      </c>
      <c r="J18" s="97">
        <v>6</v>
      </c>
      <c r="K18" s="97">
        <v>6</v>
      </c>
      <c r="L18" s="97">
        <v>5</v>
      </c>
      <c r="M18" s="97">
        <v>5</v>
      </c>
      <c r="N18" s="97">
        <v>4</v>
      </c>
      <c r="O18" s="96"/>
      <c r="P18" s="89"/>
      <c r="Q18" s="88"/>
      <c r="R18" s="88"/>
      <c r="S18" s="88"/>
      <c r="T18" s="88"/>
      <c r="U18" s="88"/>
    </row>
    <row r="19" spans="1:32" x14ac:dyDescent="0.25">
      <c r="A19" s="71"/>
      <c r="B19" s="71" t="s">
        <v>198</v>
      </c>
      <c r="C19" s="95">
        <f t="shared" ref="C19:N19" si="3">AVERAGE(C16:C18)*10</f>
        <v>70</v>
      </c>
      <c r="D19" s="95">
        <f t="shared" si="3"/>
        <v>63.333333333333329</v>
      </c>
      <c r="E19" s="95">
        <f t="shared" si="3"/>
        <v>76.666666666666671</v>
      </c>
      <c r="F19" s="95">
        <f t="shared" si="3"/>
        <v>60</v>
      </c>
      <c r="G19" s="95">
        <f t="shared" si="3"/>
        <v>46.666666666666671</v>
      </c>
      <c r="H19" s="95">
        <f t="shared" si="3"/>
        <v>63.333333333333329</v>
      </c>
      <c r="I19" s="95">
        <f t="shared" si="3"/>
        <v>43.333333333333329</v>
      </c>
      <c r="J19" s="95">
        <f t="shared" si="3"/>
        <v>60</v>
      </c>
      <c r="K19" s="95">
        <f t="shared" si="3"/>
        <v>53.333333333333329</v>
      </c>
      <c r="L19" s="95">
        <f t="shared" si="3"/>
        <v>50</v>
      </c>
      <c r="M19" s="95">
        <f t="shared" si="3"/>
        <v>63.333333333333329</v>
      </c>
      <c r="N19" s="95">
        <f t="shared" si="3"/>
        <v>50</v>
      </c>
      <c r="O19" s="94"/>
      <c r="P19" s="89"/>
      <c r="Q19" s="88"/>
      <c r="R19" s="88"/>
      <c r="S19" s="88"/>
      <c r="T19" s="88"/>
      <c r="U19" s="88"/>
    </row>
    <row r="20" spans="1:32" x14ac:dyDescent="0.25">
      <c r="A20" s="67"/>
      <c r="B20" s="66"/>
      <c r="C20" s="57">
        <f t="shared" ref="C20:N20" si="4">AVERAGE(C4:C6,C8:C10,C12:C14,C16:C18)/10</f>
        <v>0.71666666666666667</v>
      </c>
      <c r="D20" s="57">
        <f t="shared" si="4"/>
        <v>0.625</v>
      </c>
      <c r="E20" s="57">
        <f t="shared" si="4"/>
        <v>0.7416666666666667</v>
      </c>
      <c r="F20" s="57">
        <f t="shared" si="4"/>
        <v>0.55000000000000004</v>
      </c>
      <c r="G20" s="57">
        <f t="shared" si="4"/>
        <v>0.44166666666666671</v>
      </c>
      <c r="H20" s="57">
        <f t="shared" si="4"/>
        <v>0.6166666666666667</v>
      </c>
      <c r="I20" s="57">
        <f t="shared" si="4"/>
        <v>0.5083333333333333</v>
      </c>
      <c r="J20" s="57">
        <f t="shared" si="4"/>
        <v>0.52500000000000002</v>
      </c>
      <c r="K20" s="57">
        <f t="shared" si="4"/>
        <v>0.5</v>
      </c>
      <c r="L20" s="57">
        <f t="shared" si="4"/>
        <v>0.55833333333333335</v>
      </c>
      <c r="M20" s="57">
        <f t="shared" si="4"/>
        <v>0.5</v>
      </c>
      <c r="N20" s="57">
        <f t="shared" si="4"/>
        <v>0.54166666666666674</v>
      </c>
      <c r="O20" s="67"/>
      <c r="P20" s="89"/>
      <c r="Q20" s="88"/>
      <c r="R20" s="88"/>
      <c r="S20" s="88"/>
      <c r="T20" s="88"/>
      <c r="U20" s="88"/>
    </row>
    <row r="21" spans="1:32" x14ac:dyDescent="0.25">
      <c r="A21" s="67"/>
      <c r="B21" s="65"/>
      <c r="C21" s="67"/>
      <c r="D21" s="67"/>
      <c r="E21" s="67"/>
      <c r="F21" s="67"/>
      <c r="G21" s="67"/>
      <c r="H21" s="67"/>
      <c r="I21" s="67"/>
      <c r="J21" s="67"/>
      <c r="K21" s="67"/>
      <c r="L21" s="93"/>
      <c r="M21" s="93"/>
      <c r="N21" s="67"/>
      <c r="O21" s="67"/>
      <c r="P21" s="89"/>
      <c r="Q21" s="88"/>
      <c r="R21" s="88"/>
      <c r="S21" s="88"/>
      <c r="T21" s="88"/>
      <c r="U21" s="88"/>
    </row>
    <row r="22" spans="1:32" x14ac:dyDescent="0.25">
      <c r="A22" s="67" t="s">
        <v>166</v>
      </c>
      <c r="B22" s="65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89"/>
      <c r="Q22" s="88"/>
      <c r="R22" s="88"/>
      <c r="S22" s="88"/>
      <c r="T22" s="88"/>
      <c r="U22" s="88"/>
      <c r="V22" s="90"/>
      <c r="W22" s="90"/>
      <c r="X22" s="90"/>
      <c r="Y22" s="90"/>
      <c r="Z22" s="90"/>
      <c r="AA22" s="90"/>
      <c r="AB22" s="90"/>
      <c r="AC22" s="88"/>
      <c r="AD22" s="88"/>
      <c r="AE22" s="87"/>
      <c r="AF22" s="87"/>
    </row>
    <row r="23" spans="1:32" x14ac:dyDescent="0.25">
      <c r="A23" s="67" t="s">
        <v>194</v>
      </c>
      <c r="B23" s="65" t="s">
        <v>167</v>
      </c>
      <c r="C23" s="67" t="s">
        <v>168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89"/>
      <c r="Q23" s="88"/>
      <c r="R23" s="88"/>
      <c r="S23" s="88"/>
      <c r="T23" s="88"/>
      <c r="U23" s="88"/>
      <c r="V23" s="90"/>
      <c r="W23" s="90"/>
      <c r="X23" s="90"/>
      <c r="Y23" s="90"/>
      <c r="Z23" s="90"/>
      <c r="AA23" s="90"/>
      <c r="AB23" s="90"/>
      <c r="AC23" s="88"/>
      <c r="AD23" s="88"/>
      <c r="AE23" s="87"/>
      <c r="AF23" s="87"/>
    </row>
    <row r="24" spans="1:32" x14ac:dyDescent="0.25">
      <c r="A24" s="67">
        <v>1</v>
      </c>
      <c r="B24" s="65">
        <v>22050</v>
      </c>
      <c r="C24" s="67" t="s">
        <v>207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89"/>
      <c r="Q24" s="88"/>
      <c r="R24" s="88"/>
      <c r="S24" s="88"/>
      <c r="T24" s="88"/>
      <c r="U24" s="88"/>
      <c r="V24" s="90"/>
      <c r="W24" s="90"/>
      <c r="X24" s="90"/>
      <c r="Y24" s="90"/>
      <c r="Z24" s="90"/>
      <c r="AA24" s="90"/>
      <c r="AB24" s="90"/>
      <c r="AC24" s="88"/>
      <c r="AD24" s="88"/>
      <c r="AE24" s="87"/>
      <c r="AF24" s="87"/>
    </row>
    <row r="25" spans="1:32" x14ac:dyDescent="0.25">
      <c r="A25" s="67">
        <v>2</v>
      </c>
      <c r="B25" s="65">
        <v>24000</v>
      </c>
      <c r="C25" s="67" t="s">
        <v>207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89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7"/>
      <c r="AF25" s="87"/>
    </row>
    <row r="26" spans="1:32" x14ac:dyDescent="0.25">
      <c r="A26" s="67">
        <v>3</v>
      </c>
      <c r="B26" s="65">
        <v>22050</v>
      </c>
      <c r="C26" s="67" t="s">
        <v>206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89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7"/>
      <c r="AF26" s="87"/>
    </row>
    <row r="27" spans="1:32" x14ac:dyDescent="0.25">
      <c r="A27" s="67">
        <v>4</v>
      </c>
      <c r="B27" s="67">
        <v>24000</v>
      </c>
      <c r="C27" s="67" t="s">
        <v>206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89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7"/>
      <c r="AF27" s="87"/>
    </row>
    <row r="28" spans="1:32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89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7"/>
      <c r="AF28" s="87"/>
    </row>
    <row r="29" spans="1:32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89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7"/>
      <c r="AF29" s="87"/>
    </row>
    <row r="30" spans="1:32" x14ac:dyDescent="0.25">
      <c r="A30" s="67" t="s">
        <v>169</v>
      </c>
      <c r="B30" s="67"/>
      <c r="C30" s="67"/>
      <c r="D30" s="67"/>
      <c r="E30" s="67"/>
      <c r="F30" s="67" t="s">
        <v>170</v>
      </c>
      <c r="G30" s="67"/>
      <c r="H30" s="67"/>
      <c r="I30" s="67"/>
      <c r="J30" s="67"/>
      <c r="K30" s="67" t="s">
        <v>205</v>
      </c>
      <c r="L30" s="67"/>
      <c r="M30" s="67"/>
      <c r="N30" s="67"/>
      <c r="O30" s="67"/>
      <c r="P30" s="89"/>
      <c r="Q30" s="90"/>
      <c r="R30" s="90"/>
      <c r="S30" s="90"/>
      <c r="T30" s="90"/>
      <c r="U30" s="90"/>
      <c r="V30" s="88"/>
      <c r="W30" s="88"/>
      <c r="X30" s="88"/>
      <c r="Y30" s="88"/>
      <c r="Z30" s="88"/>
      <c r="AA30" s="88"/>
      <c r="AB30" s="88"/>
      <c r="AC30" s="88"/>
      <c r="AD30" s="88"/>
      <c r="AE30" s="87"/>
      <c r="AF30" s="87"/>
    </row>
    <row r="31" spans="1:32" x14ac:dyDescent="0.25">
      <c r="A31" s="67" t="s">
        <v>158</v>
      </c>
      <c r="B31" s="67" t="s">
        <v>159</v>
      </c>
      <c r="C31" s="67" t="s">
        <v>160</v>
      </c>
      <c r="D31" s="67" t="s">
        <v>161</v>
      </c>
      <c r="E31" s="67"/>
      <c r="F31" s="67" t="s">
        <v>162</v>
      </c>
      <c r="G31" s="67" t="s">
        <v>163</v>
      </c>
      <c r="H31" s="67" t="s">
        <v>164</v>
      </c>
      <c r="I31" s="67" t="s">
        <v>165</v>
      </c>
      <c r="J31" s="67"/>
      <c r="K31" s="67" t="s">
        <v>204</v>
      </c>
      <c r="L31" s="67" t="s">
        <v>200</v>
      </c>
      <c r="M31" s="67" t="s">
        <v>199</v>
      </c>
      <c r="N31" s="67" t="s">
        <v>203</v>
      </c>
      <c r="O31" s="67"/>
      <c r="P31" s="89"/>
      <c r="Q31" s="90"/>
      <c r="R31" s="90"/>
      <c r="S31" s="90"/>
      <c r="T31" s="90"/>
      <c r="U31" s="90"/>
      <c r="V31" s="88"/>
      <c r="W31" s="88"/>
      <c r="X31" s="88"/>
      <c r="Y31" s="88"/>
      <c r="Z31" s="88"/>
      <c r="AA31" s="88"/>
      <c r="AB31" s="88"/>
      <c r="AC31" s="88"/>
      <c r="AD31" s="88"/>
      <c r="AE31" s="87"/>
      <c r="AF31" s="87"/>
    </row>
    <row r="32" spans="1:32" x14ac:dyDescent="0.25">
      <c r="A32" s="67">
        <v>1</v>
      </c>
      <c r="B32" s="67">
        <v>2</v>
      </c>
      <c r="C32" s="67">
        <v>3</v>
      </c>
      <c r="D32" s="67">
        <v>4</v>
      </c>
      <c r="E32" s="67"/>
      <c r="F32" s="67">
        <v>1</v>
      </c>
      <c r="G32" s="67">
        <v>2</v>
      </c>
      <c r="H32" s="67">
        <v>3</v>
      </c>
      <c r="I32" s="67">
        <v>4</v>
      </c>
      <c r="J32" s="67"/>
      <c r="K32" s="67">
        <v>1</v>
      </c>
      <c r="L32" s="67">
        <v>2</v>
      </c>
      <c r="M32" s="67">
        <v>3</v>
      </c>
      <c r="N32" s="67">
        <v>4</v>
      </c>
      <c r="O32" s="67"/>
      <c r="P32" s="89"/>
      <c r="Q32" s="90"/>
      <c r="R32" s="90"/>
      <c r="S32" s="90"/>
      <c r="T32" s="90"/>
      <c r="U32" s="90"/>
      <c r="V32" s="88"/>
      <c r="W32" s="88"/>
      <c r="X32" s="88"/>
      <c r="Y32" s="88"/>
      <c r="Z32" s="88"/>
      <c r="AA32" s="88"/>
      <c r="AB32" s="88"/>
      <c r="AC32" s="88"/>
      <c r="AD32" s="88"/>
      <c r="AE32" s="87"/>
      <c r="AF32" s="87"/>
    </row>
    <row r="33" spans="1:32" x14ac:dyDescent="0.25">
      <c r="A33" s="67">
        <v>2</v>
      </c>
      <c r="B33" s="67">
        <v>3</v>
      </c>
      <c r="C33" s="67">
        <v>4</v>
      </c>
      <c r="D33" s="67">
        <v>1</v>
      </c>
      <c r="E33" s="67"/>
      <c r="F33" s="67">
        <v>2</v>
      </c>
      <c r="G33" s="67">
        <v>3</v>
      </c>
      <c r="H33" s="67">
        <v>4</v>
      </c>
      <c r="I33" s="67">
        <v>1</v>
      </c>
      <c r="J33" s="67"/>
      <c r="K33" s="67">
        <v>2</v>
      </c>
      <c r="L33" s="67">
        <v>3</v>
      </c>
      <c r="M33" s="67">
        <v>4</v>
      </c>
      <c r="N33" s="67">
        <v>1</v>
      </c>
      <c r="O33" s="67"/>
      <c r="P33" s="89"/>
      <c r="Q33" s="90"/>
      <c r="R33" s="90"/>
      <c r="S33" s="90"/>
      <c r="T33" s="90"/>
      <c r="U33" s="90"/>
      <c r="V33" s="88"/>
      <c r="W33" s="88"/>
      <c r="X33" s="88"/>
      <c r="Y33" s="88"/>
      <c r="Z33" s="88"/>
      <c r="AA33" s="88"/>
      <c r="AB33" s="88"/>
      <c r="AC33" s="88"/>
      <c r="AD33" s="88"/>
      <c r="AE33" s="87"/>
      <c r="AF33" s="87"/>
    </row>
    <row r="34" spans="1:32" x14ac:dyDescent="0.25">
      <c r="A34" s="67">
        <v>4</v>
      </c>
      <c r="B34" s="67">
        <v>1</v>
      </c>
      <c r="C34" s="67">
        <v>2</v>
      </c>
      <c r="D34" s="67">
        <v>3</v>
      </c>
      <c r="E34" s="67"/>
      <c r="F34" s="67">
        <v>4</v>
      </c>
      <c r="G34" s="67">
        <v>1</v>
      </c>
      <c r="H34" s="67">
        <v>2</v>
      </c>
      <c r="I34" s="67">
        <v>3</v>
      </c>
      <c r="J34" s="67"/>
      <c r="K34" s="67">
        <v>4</v>
      </c>
      <c r="L34" s="67">
        <v>1</v>
      </c>
      <c r="M34" s="67">
        <v>2</v>
      </c>
      <c r="N34" s="67">
        <v>3</v>
      </c>
      <c r="O34" s="67"/>
      <c r="P34" s="89"/>
      <c r="Q34" s="90"/>
      <c r="R34" s="90"/>
      <c r="S34" s="90"/>
      <c r="T34" s="90"/>
      <c r="U34" s="90"/>
      <c r="V34" s="88"/>
      <c r="W34" s="88"/>
      <c r="X34" s="88"/>
      <c r="Y34" s="88"/>
      <c r="Z34" s="88"/>
      <c r="AA34" s="88"/>
      <c r="AB34" s="88"/>
      <c r="AC34" s="88"/>
      <c r="AD34" s="88"/>
      <c r="AE34" s="87"/>
      <c r="AF34" s="87"/>
    </row>
    <row r="35" spans="1:32" x14ac:dyDescent="0.25">
      <c r="A35" s="67">
        <v>3</v>
      </c>
      <c r="B35" s="67">
        <v>4</v>
      </c>
      <c r="C35" s="67">
        <v>1</v>
      </c>
      <c r="D35" s="67">
        <v>2</v>
      </c>
      <c r="E35" s="67"/>
      <c r="F35" s="67">
        <v>3</v>
      </c>
      <c r="G35" s="67">
        <v>4</v>
      </c>
      <c r="H35" s="67">
        <v>1</v>
      </c>
      <c r="I35" s="67">
        <v>2</v>
      </c>
      <c r="J35" s="67"/>
      <c r="K35" s="67">
        <v>3</v>
      </c>
      <c r="L35" s="67">
        <v>4</v>
      </c>
      <c r="M35" s="67">
        <v>1</v>
      </c>
      <c r="N35" s="67">
        <v>2</v>
      </c>
      <c r="O35" s="67"/>
      <c r="P35" s="89"/>
      <c r="Q35" s="90"/>
      <c r="R35" s="90"/>
      <c r="S35" s="90"/>
      <c r="T35" s="90"/>
      <c r="U35" s="90"/>
      <c r="V35" s="88"/>
      <c r="W35" s="88"/>
      <c r="X35" s="88"/>
      <c r="Y35" s="88"/>
      <c r="Z35" s="88"/>
      <c r="AA35" s="88"/>
      <c r="AB35" s="88"/>
      <c r="AC35" s="88"/>
      <c r="AD35" s="88"/>
      <c r="AE35" s="87"/>
      <c r="AF35" s="87"/>
    </row>
    <row r="36" spans="1:32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89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7"/>
      <c r="AF36" s="87"/>
    </row>
    <row r="37" spans="1:32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89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7"/>
      <c r="AF37" s="87"/>
    </row>
    <row r="38" spans="1:32" x14ac:dyDescent="0.25">
      <c r="A38" s="67" t="s">
        <v>202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89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90"/>
      <c r="AD38" s="91"/>
      <c r="AE38" s="87"/>
      <c r="AF38" s="87"/>
    </row>
    <row r="39" spans="1:32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89"/>
      <c r="Q39" s="88"/>
      <c r="R39" s="88"/>
      <c r="S39" s="88"/>
      <c r="T39" s="88"/>
      <c r="U39" s="88"/>
      <c r="V39" s="90"/>
      <c r="W39" s="90"/>
      <c r="X39" s="90"/>
      <c r="Y39" s="90"/>
      <c r="Z39" s="90"/>
      <c r="AA39" s="90"/>
      <c r="AB39" s="90"/>
      <c r="AC39" s="88"/>
      <c r="AD39" s="91"/>
      <c r="AE39" s="87"/>
      <c r="AF39" s="87"/>
    </row>
    <row r="40" spans="1:32" x14ac:dyDescent="0.25">
      <c r="A40" s="67" t="s">
        <v>190</v>
      </c>
      <c r="B40" s="92" t="s">
        <v>201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67"/>
      <c r="O40" s="67"/>
      <c r="P40" s="89"/>
      <c r="Q40" s="88"/>
      <c r="R40" s="88"/>
      <c r="S40" s="88"/>
      <c r="T40" s="88"/>
      <c r="U40" s="88"/>
      <c r="V40" s="90"/>
      <c r="W40" s="90"/>
      <c r="X40" s="90"/>
      <c r="Y40" s="90"/>
      <c r="Z40" s="90"/>
      <c r="AA40" s="90"/>
      <c r="AB40" s="90"/>
      <c r="AC40" s="90"/>
      <c r="AD40" s="91"/>
      <c r="AE40" s="87"/>
      <c r="AF40" s="87"/>
    </row>
    <row r="41" spans="1:32" x14ac:dyDescent="0.25">
      <c r="A41" s="67" t="s">
        <v>158</v>
      </c>
      <c r="B41" s="67" t="s">
        <v>158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89"/>
      <c r="Q41" s="88"/>
      <c r="R41" s="88"/>
      <c r="S41" s="88"/>
      <c r="T41" s="88"/>
      <c r="U41" s="88"/>
      <c r="V41" s="90"/>
      <c r="W41" s="90"/>
      <c r="X41" s="90"/>
      <c r="Y41" s="90"/>
      <c r="Z41" s="90"/>
      <c r="AA41" s="90"/>
      <c r="AB41" s="90"/>
      <c r="AC41" s="88"/>
      <c r="AD41" s="88"/>
      <c r="AE41" s="87"/>
      <c r="AF41" s="87"/>
    </row>
    <row r="42" spans="1:32" x14ac:dyDescent="0.25">
      <c r="A42" s="67" t="s">
        <v>159</v>
      </c>
      <c r="B42" s="67" t="s">
        <v>159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89"/>
      <c r="Q42" s="88"/>
      <c r="R42" s="88"/>
      <c r="S42" s="88"/>
      <c r="T42" s="88"/>
      <c r="U42" s="88"/>
      <c r="V42" s="90"/>
      <c r="W42" s="90"/>
      <c r="X42" s="90"/>
      <c r="Y42" s="90"/>
      <c r="Z42" s="90"/>
      <c r="AA42" s="90"/>
      <c r="AB42" s="90"/>
      <c r="AC42" s="88"/>
      <c r="AD42" s="88"/>
      <c r="AE42" s="87"/>
      <c r="AF42" s="87"/>
    </row>
    <row r="43" spans="1:32" x14ac:dyDescent="0.25">
      <c r="A43" s="67" t="s">
        <v>160</v>
      </c>
      <c r="B43" s="67" t="s">
        <v>160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89"/>
      <c r="Q43" s="88"/>
      <c r="R43" s="88"/>
      <c r="S43" s="88"/>
      <c r="T43" s="88"/>
      <c r="U43" s="88"/>
      <c r="V43" s="90"/>
      <c r="W43" s="90"/>
      <c r="X43" s="90"/>
      <c r="Y43" s="90"/>
      <c r="Z43" s="90"/>
      <c r="AA43" s="90"/>
      <c r="AB43" s="90"/>
      <c r="AC43" s="88"/>
      <c r="AD43" s="88"/>
      <c r="AE43" s="87"/>
      <c r="AF43" s="87"/>
    </row>
    <row r="44" spans="1:32" x14ac:dyDescent="0.25">
      <c r="A44" s="67" t="s">
        <v>161</v>
      </c>
      <c r="B44" s="67" t="s">
        <v>200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89"/>
      <c r="Q44" s="88"/>
      <c r="R44" s="88"/>
      <c r="S44" s="88"/>
      <c r="T44" s="88"/>
      <c r="U44" s="88"/>
      <c r="V44" s="90"/>
      <c r="W44" s="90"/>
      <c r="X44" s="90"/>
      <c r="Y44" s="90"/>
      <c r="Z44" s="90"/>
      <c r="AA44" s="90"/>
      <c r="AB44" s="90"/>
      <c r="AC44" s="88"/>
      <c r="AD44" s="88"/>
      <c r="AE44" s="87"/>
      <c r="AF44" s="87"/>
    </row>
    <row r="45" spans="1:32" x14ac:dyDescent="0.25">
      <c r="A45" s="67" t="s">
        <v>163</v>
      </c>
      <c r="B45" s="67" t="s">
        <v>199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89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7"/>
      <c r="AF45" s="87"/>
    </row>
    <row r="46" spans="1:32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89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7"/>
      <c r="AF46" s="87"/>
    </row>
    <row r="47" spans="1:32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89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7"/>
      <c r="AF47" s="87"/>
    </row>
    <row r="48" spans="1:32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89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7"/>
      <c r="AF48" s="87"/>
    </row>
    <row r="49" spans="16:32" x14ac:dyDescent="0.25">
      <c r="P49" s="89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7"/>
      <c r="AF49" s="87"/>
    </row>
    <row r="50" spans="16:32" x14ac:dyDescent="0.25">
      <c r="P50" s="89"/>
      <c r="Q50" s="90"/>
      <c r="R50" s="90"/>
      <c r="S50" s="90"/>
      <c r="T50" s="90"/>
      <c r="U50" s="90"/>
      <c r="V50" s="88"/>
      <c r="W50" s="88"/>
      <c r="X50" s="88"/>
      <c r="Y50" s="88"/>
      <c r="Z50" s="88"/>
      <c r="AA50" s="88"/>
      <c r="AB50" s="88"/>
      <c r="AC50" s="88"/>
      <c r="AD50" s="88"/>
      <c r="AE50" s="87"/>
      <c r="AF50" s="87"/>
    </row>
    <row r="51" spans="16:32" x14ac:dyDescent="0.25">
      <c r="P51" s="89"/>
      <c r="Q51" s="90"/>
      <c r="R51" s="90"/>
      <c r="S51" s="90"/>
      <c r="T51" s="90"/>
      <c r="U51" s="90"/>
      <c r="V51" s="88"/>
      <c r="W51" s="88"/>
      <c r="X51" s="88"/>
      <c r="Y51" s="88"/>
      <c r="Z51" s="88"/>
      <c r="AA51" s="88"/>
      <c r="AB51" s="88"/>
      <c r="AC51" s="88"/>
      <c r="AD51" s="88"/>
      <c r="AE51" s="87"/>
      <c r="AF51" s="87"/>
    </row>
    <row r="52" spans="16:32" x14ac:dyDescent="0.25">
      <c r="P52" s="89"/>
      <c r="Q52" s="90"/>
      <c r="R52" s="90"/>
      <c r="S52" s="90"/>
      <c r="T52" s="90"/>
      <c r="U52" s="90"/>
      <c r="V52" s="88"/>
      <c r="W52" s="88"/>
      <c r="X52" s="88"/>
      <c r="Y52" s="88"/>
      <c r="Z52" s="88"/>
      <c r="AA52" s="88"/>
      <c r="AB52" s="88"/>
      <c r="AC52" s="88"/>
      <c r="AD52" s="88"/>
      <c r="AE52" s="87"/>
      <c r="AF52" s="87"/>
    </row>
    <row r="53" spans="16:32" x14ac:dyDescent="0.25">
      <c r="P53" s="89"/>
      <c r="Q53" s="90"/>
      <c r="R53" s="90"/>
      <c r="S53" s="90"/>
      <c r="T53" s="90"/>
      <c r="U53" s="90"/>
      <c r="V53" s="88"/>
      <c r="W53" s="88"/>
      <c r="X53" s="88"/>
      <c r="Y53" s="88"/>
      <c r="Z53" s="88"/>
      <c r="AA53" s="88"/>
      <c r="AB53" s="88"/>
      <c r="AC53" s="88"/>
      <c r="AD53" s="88"/>
      <c r="AE53" s="87"/>
      <c r="AF53" s="87"/>
    </row>
    <row r="54" spans="16:32" x14ac:dyDescent="0.25">
      <c r="P54" s="89"/>
      <c r="Q54" s="90"/>
      <c r="R54" s="90"/>
      <c r="S54" s="90"/>
      <c r="T54" s="90"/>
      <c r="U54" s="90"/>
      <c r="V54" s="88"/>
      <c r="W54" s="88"/>
      <c r="X54" s="88"/>
      <c r="Y54" s="88"/>
      <c r="Z54" s="88"/>
      <c r="AA54" s="88"/>
      <c r="AB54" s="88"/>
      <c r="AC54" s="88"/>
      <c r="AD54" s="88"/>
      <c r="AE54" s="87"/>
      <c r="AF54" s="87"/>
    </row>
    <row r="55" spans="16:32" x14ac:dyDescent="0.25">
      <c r="P55" s="89"/>
      <c r="Q55" s="90"/>
      <c r="R55" s="90"/>
      <c r="S55" s="90"/>
      <c r="T55" s="90"/>
      <c r="U55" s="90"/>
      <c r="V55" s="88"/>
      <c r="W55" s="88"/>
      <c r="X55" s="88"/>
      <c r="Y55" s="88"/>
      <c r="Z55" s="88"/>
      <c r="AA55" s="88"/>
      <c r="AB55" s="88"/>
      <c r="AC55" s="88"/>
      <c r="AD55" s="88"/>
      <c r="AE55" s="87"/>
      <c r="AF55" s="87"/>
    </row>
    <row r="56" spans="16:32" x14ac:dyDescent="0.25">
      <c r="P56" s="89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7"/>
      <c r="AF56" s="87"/>
    </row>
    <row r="57" spans="16:32" x14ac:dyDescent="0.25">
      <c r="P57" s="89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7"/>
      <c r="AF57" s="87"/>
    </row>
    <row r="58" spans="16:32" x14ac:dyDescent="0.25">
      <c r="P58" s="89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90"/>
      <c r="AD58" s="91"/>
      <c r="AE58" s="87"/>
      <c r="AF58" s="87"/>
    </row>
    <row r="59" spans="16:32" x14ac:dyDescent="0.25">
      <c r="P59" s="89"/>
      <c r="Q59" s="88"/>
      <c r="R59" s="88"/>
      <c r="S59" s="88"/>
      <c r="T59" s="88"/>
      <c r="U59" s="88"/>
      <c r="V59" s="90"/>
      <c r="W59" s="90"/>
      <c r="X59" s="90"/>
      <c r="Y59" s="90"/>
      <c r="Z59" s="90"/>
      <c r="AA59" s="90"/>
      <c r="AB59" s="90"/>
      <c r="AC59" s="88"/>
      <c r="AD59" s="91"/>
      <c r="AE59" s="87"/>
      <c r="AF59" s="87"/>
    </row>
    <row r="60" spans="16:32" x14ac:dyDescent="0.25">
      <c r="P60" s="89"/>
      <c r="Q60" s="88"/>
      <c r="R60" s="88"/>
      <c r="S60" s="88"/>
      <c r="T60" s="88"/>
      <c r="U60" s="88"/>
      <c r="V60" s="90"/>
      <c r="W60" s="90"/>
      <c r="X60" s="90"/>
      <c r="Y60" s="90"/>
      <c r="Z60" s="90"/>
      <c r="AA60" s="90"/>
      <c r="AB60" s="90"/>
      <c r="AC60" s="90"/>
      <c r="AD60" s="91"/>
      <c r="AE60" s="87"/>
      <c r="AF60" s="87"/>
    </row>
    <row r="61" spans="16:32" x14ac:dyDescent="0.25">
      <c r="P61" s="89"/>
      <c r="Q61" s="88"/>
      <c r="R61" s="88"/>
      <c r="S61" s="88"/>
      <c r="T61" s="88"/>
      <c r="U61" s="88"/>
      <c r="V61" s="90"/>
      <c r="W61" s="90"/>
      <c r="X61" s="90"/>
      <c r="Y61" s="90"/>
      <c r="Z61" s="90"/>
      <c r="AA61" s="90"/>
      <c r="AB61" s="90"/>
      <c r="AC61" s="88"/>
      <c r="AD61" s="88"/>
      <c r="AE61" s="87"/>
      <c r="AF61" s="87"/>
    </row>
    <row r="62" spans="16:32" x14ac:dyDescent="0.25">
      <c r="P62" s="89"/>
      <c r="Q62" s="88"/>
      <c r="R62" s="88"/>
      <c r="S62" s="88"/>
      <c r="T62" s="88"/>
      <c r="U62" s="88"/>
      <c r="V62" s="90"/>
      <c r="W62" s="90"/>
      <c r="X62" s="90"/>
      <c r="Y62" s="90"/>
      <c r="Z62" s="90"/>
      <c r="AA62" s="90"/>
      <c r="AB62" s="90"/>
      <c r="AC62" s="88"/>
      <c r="AD62" s="88"/>
      <c r="AE62" s="87"/>
      <c r="AF62" s="87"/>
    </row>
    <row r="63" spans="16:32" x14ac:dyDescent="0.25">
      <c r="P63" s="89"/>
      <c r="Q63" s="88"/>
      <c r="R63" s="88"/>
      <c r="S63" s="88"/>
      <c r="T63" s="88"/>
      <c r="U63" s="88"/>
      <c r="V63" s="90"/>
      <c r="W63" s="90"/>
      <c r="X63" s="90"/>
      <c r="Y63" s="90"/>
      <c r="Z63" s="90"/>
      <c r="AA63" s="90"/>
      <c r="AB63" s="90"/>
      <c r="AC63" s="88"/>
      <c r="AD63" s="88"/>
      <c r="AE63" s="87"/>
      <c r="AF63" s="87"/>
    </row>
    <row r="64" spans="16:32" x14ac:dyDescent="0.25">
      <c r="P64" s="89"/>
      <c r="Q64" s="88"/>
      <c r="R64" s="88"/>
      <c r="S64" s="88"/>
      <c r="T64" s="88"/>
      <c r="U64" s="88"/>
      <c r="V64" s="90"/>
      <c r="W64" s="90"/>
      <c r="X64" s="90"/>
      <c r="Y64" s="90"/>
      <c r="Z64" s="90"/>
      <c r="AA64" s="90"/>
      <c r="AB64" s="90"/>
      <c r="AC64" s="88"/>
      <c r="AD64" s="88"/>
      <c r="AE64" s="87"/>
      <c r="AF64" s="87"/>
    </row>
    <row r="65" spans="16:32" x14ac:dyDescent="0.25">
      <c r="P65" s="89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7"/>
      <c r="AF65" s="87"/>
    </row>
    <row r="66" spans="16:32" x14ac:dyDescent="0.25">
      <c r="P66" s="89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7"/>
      <c r="AF66" s="87"/>
    </row>
    <row r="67" spans="16:32" x14ac:dyDescent="0.25">
      <c r="P67" s="89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7"/>
      <c r="AF67" s="87"/>
    </row>
    <row r="68" spans="16:32" x14ac:dyDescent="0.25">
      <c r="P68" s="89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7"/>
      <c r="AF68" s="87"/>
    </row>
    <row r="69" spans="16:32" x14ac:dyDescent="0.25">
      <c r="P69" s="89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7"/>
      <c r="AF69" s="87"/>
    </row>
    <row r="70" spans="16:32" x14ac:dyDescent="0.25">
      <c r="P70" s="89"/>
      <c r="Q70" s="90"/>
      <c r="R70" s="90"/>
      <c r="S70" s="90"/>
      <c r="T70" s="90"/>
      <c r="U70" s="90"/>
      <c r="V70" s="88"/>
      <c r="W70" s="88"/>
      <c r="X70" s="88"/>
      <c r="Y70" s="88"/>
      <c r="Z70" s="88"/>
      <c r="AA70" s="88"/>
      <c r="AB70" s="88"/>
      <c r="AC70" s="88"/>
      <c r="AD70" s="88"/>
      <c r="AE70" s="87"/>
      <c r="AF70" s="87"/>
    </row>
    <row r="71" spans="16:32" x14ac:dyDescent="0.25">
      <c r="P71" s="89"/>
      <c r="Q71" s="90"/>
      <c r="R71" s="90"/>
      <c r="S71" s="90"/>
      <c r="T71" s="90"/>
      <c r="U71" s="90"/>
      <c r="V71" s="88"/>
      <c r="W71" s="88"/>
      <c r="X71" s="88"/>
      <c r="Y71" s="88"/>
      <c r="Z71" s="88"/>
      <c r="AA71" s="88"/>
      <c r="AB71" s="88"/>
      <c r="AC71" s="88"/>
      <c r="AD71" s="88"/>
      <c r="AE71" s="87"/>
      <c r="AF71" s="87"/>
    </row>
    <row r="72" spans="16:32" x14ac:dyDescent="0.25">
      <c r="P72" s="89"/>
      <c r="Q72" s="90"/>
      <c r="R72" s="90"/>
      <c r="S72" s="90"/>
      <c r="T72" s="90"/>
      <c r="U72" s="90"/>
      <c r="V72" s="88"/>
      <c r="W72" s="88"/>
      <c r="X72" s="88"/>
      <c r="Y72" s="88"/>
      <c r="Z72" s="88"/>
      <c r="AA72" s="88"/>
      <c r="AB72" s="88"/>
      <c r="AC72" s="88"/>
      <c r="AD72" s="88"/>
      <c r="AE72" s="87"/>
      <c r="AF72" s="87"/>
    </row>
    <row r="73" spans="16:32" x14ac:dyDescent="0.25">
      <c r="P73" s="89"/>
      <c r="Q73" s="90"/>
      <c r="R73" s="90"/>
      <c r="S73" s="90"/>
      <c r="T73" s="90"/>
      <c r="U73" s="90"/>
      <c r="V73" s="88"/>
      <c r="W73" s="88"/>
      <c r="X73" s="88"/>
      <c r="Y73" s="88"/>
      <c r="Z73" s="88"/>
      <c r="AA73" s="88"/>
      <c r="AB73" s="88"/>
      <c r="AC73" s="88"/>
      <c r="AD73" s="88"/>
      <c r="AE73" s="87"/>
      <c r="AF73" s="87"/>
    </row>
    <row r="74" spans="16:32" x14ac:dyDescent="0.25">
      <c r="P74" s="89"/>
      <c r="Q74" s="90"/>
      <c r="R74" s="90"/>
      <c r="S74" s="90"/>
      <c r="T74" s="90"/>
      <c r="U74" s="90"/>
      <c r="V74" s="88"/>
      <c r="W74" s="88"/>
      <c r="X74" s="88"/>
      <c r="Y74" s="88"/>
      <c r="Z74" s="88"/>
      <c r="AA74" s="88"/>
      <c r="AB74" s="88"/>
      <c r="AC74" s="88"/>
      <c r="AD74" s="88"/>
      <c r="AE74" s="87"/>
      <c r="AF74" s="87"/>
    </row>
    <row r="75" spans="16:32" x14ac:dyDescent="0.25">
      <c r="P75" s="89"/>
      <c r="Q75" s="90"/>
      <c r="R75" s="90"/>
      <c r="S75" s="90"/>
      <c r="T75" s="90"/>
      <c r="U75" s="90"/>
      <c r="V75" s="88"/>
      <c r="W75" s="88"/>
      <c r="X75" s="88"/>
      <c r="Y75" s="88"/>
      <c r="Z75" s="88"/>
      <c r="AA75" s="88"/>
      <c r="AB75" s="88"/>
      <c r="AC75" s="88"/>
      <c r="AD75" s="88"/>
      <c r="AE75" s="87"/>
      <c r="AF75" s="87"/>
    </row>
    <row r="76" spans="16:32" x14ac:dyDescent="0.25">
      <c r="P76" s="89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7"/>
      <c r="AF76" s="87"/>
    </row>
    <row r="77" spans="16:32" x14ac:dyDescent="0.25">
      <c r="P77" s="89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7"/>
      <c r="AF77" s="87"/>
    </row>
    <row r="78" spans="16:32" x14ac:dyDescent="0.25">
      <c r="P78" s="89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90"/>
      <c r="AD78" s="91"/>
      <c r="AE78" s="87"/>
      <c r="AF78" s="87"/>
    </row>
    <row r="79" spans="16:32" x14ac:dyDescent="0.25">
      <c r="P79" s="89"/>
      <c r="Q79" s="88"/>
      <c r="R79" s="88"/>
      <c r="S79" s="88"/>
      <c r="T79" s="88"/>
      <c r="U79" s="88"/>
      <c r="V79" s="90"/>
      <c r="W79" s="90"/>
      <c r="X79" s="90"/>
      <c r="Y79" s="90"/>
      <c r="Z79" s="90"/>
      <c r="AA79" s="90"/>
      <c r="AB79" s="90"/>
      <c r="AC79" s="88"/>
      <c r="AD79" s="91"/>
      <c r="AE79" s="87"/>
      <c r="AF79" s="87"/>
    </row>
    <row r="80" spans="16:32" x14ac:dyDescent="0.25">
      <c r="P80" s="89"/>
      <c r="Q80" s="88"/>
      <c r="R80" s="88"/>
      <c r="S80" s="88"/>
      <c r="T80" s="88"/>
      <c r="U80" s="88"/>
      <c r="V80" s="90"/>
      <c r="W80" s="90"/>
      <c r="X80" s="90"/>
      <c r="Y80" s="90"/>
      <c r="Z80" s="90"/>
      <c r="AA80" s="90"/>
      <c r="AB80" s="90"/>
      <c r="AC80" s="90"/>
      <c r="AD80" s="91"/>
      <c r="AE80" s="87"/>
      <c r="AF80" s="87"/>
    </row>
    <row r="81" spans="16:32" x14ac:dyDescent="0.25">
      <c r="P81" s="89"/>
      <c r="Q81" s="88"/>
      <c r="R81" s="88"/>
      <c r="S81" s="88"/>
      <c r="T81" s="88"/>
      <c r="U81" s="88"/>
      <c r="V81" s="90"/>
      <c r="W81" s="90"/>
      <c r="X81" s="90"/>
      <c r="Y81" s="90"/>
      <c r="Z81" s="90"/>
      <c r="AA81" s="90"/>
      <c r="AB81" s="90"/>
      <c r="AC81" s="88"/>
      <c r="AD81" s="88"/>
      <c r="AE81" s="87"/>
      <c r="AF81" s="87"/>
    </row>
    <row r="82" spans="16:32" x14ac:dyDescent="0.25">
      <c r="P82" s="89"/>
      <c r="Q82" s="87"/>
      <c r="R82" s="87"/>
      <c r="S82" s="87"/>
      <c r="T82" s="87"/>
      <c r="U82" s="87"/>
      <c r="V82" s="90"/>
      <c r="W82" s="90"/>
      <c r="X82" s="90"/>
      <c r="Y82" s="90"/>
      <c r="Z82" s="90"/>
      <c r="AA82" s="90"/>
      <c r="AB82" s="90"/>
      <c r="AC82" s="88"/>
      <c r="AD82" s="88"/>
      <c r="AE82" s="87"/>
      <c r="AF82" s="87"/>
    </row>
    <row r="83" spans="16:32" x14ac:dyDescent="0.25">
      <c r="P83" s="89"/>
      <c r="Q83" s="87"/>
      <c r="R83" s="87"/>
      <c r="S83" s="87"/>
      <c r="T83" s="87"/>
      <c r="U83" s="87"/>
      <c r="V83" s="90"/>
      <c r="W83" s="90"/>
      <c r="X83" s="90"/>
      <c r="Y83" s="90"/>
      <c r="Z83" s="90"/>
      <c r="AA83" s="90"/>
      <c r="AB83" s="90"/>
      <c r="AC83" s="88"/>
      <c r="AD83" s="88"/>
      <c r="AE83" s="87"/>
      <c r="AF83" s="87"/>
    </row>
    <row r="84" spans="16:32" x14ac:dyDescent="0.25">
      <c r="P84" s="89"/>
      <c r="Q84" s="87"/>
      <c r="R84" s="87"/>
      <c r="S84" s="87"/>
      <c r="T84" s="87"/>
      <c r="U84" s="87"/>
      <c r="V84" s="90"/>
      <c r="W84" s="90"/>
      <c r="X84" s="90"/>
      <c r="Y84" s="90"/>
      <c r="Z84" s="90"/>
      <c r="AA84" s="90"/>
      <c r="AB84" s="90"/>
      <c r="AC84" s="88"/>
      <c r="AD84" s="88"/>
      <c r="AE84" s="87"/>
      <c r="AF84" s="87"/>
    </row>
    <row r="85" spans="16:32" x14ac:dyDescent="0.25">
      <c r="P85" s="88"/>
      <c r="Q85" s="87"/>
      <c r="R85" s="87"/>
      <c r="S85" s="87"/>
      <c r="T85" s="87"/>
      <c r="U85" s="87"/>
      <c r="V85" s="88"/>
      <c r="W85" s="88"/>
      <c r="X85" s="88"/>
      <c r="Y85" s="88"/>
      <c r="Z85" s="88"/>
      <c r="AA85" s="88"/>
      <c r="AB85" s="88"/>
      <c r="AC85" s="88"/>
      <c r="AD85" s="88"/>
      <c r="AE85" s="87"/>
      <c r="AF85" s="87"/>
    </row>
    <row r="86" spans="16:32" x14ac:dyDescent="0.25">
      <c r="P86" s="89"/>
      <c r="Q86" s="87"/>
      <c r="R86" s="87"/>
      <c r="S86" s="87"/>
      <c r="T86" s="87"/>
      <c r="U86" s="87"/>
      <c r="V86" s="88"/>
      <c r="W86" s="88"/>
      <c r="X86" s="88"/>
      <c r="Y86" s="88"/>
      <c r="Z86" s="88"/>
      <c r="AA86" s="88"/>
      <c r="AB86" s="88"/>
      <c r="AC86" s="88"/>
      <c r="AD86" s="88"/>
      <c r="AE86" s="87"/>
      <c r="AF86" s="87"/>
    </row>
    <row r="87" spans="16:32" x14ac:dyDescent="0.25">
      <c r="P87" s="89"/>
      <c r="Q87" s="87"/>
      <c r="R87" s="87"/>
      <c r="S87" s="87"/>
      <c r="T87" s="87"/>
      <c r="U87" s="87"/>
      <c r="V87" s="88"/>
      <c r="W87" s="88"/>
      <c r="X87" s="88"/>
      <c r="Y87" s="88"/>
      <c r="Z87" s="88"/>
      <c r="AA87" s="88"/>
      <c r="AB87" s="88"/>
      <c r="AC87" s="88"/>
      <c r="AD87" s="88"/>
      <c r="AE87" s="87"/>
      <c r="AF87" s="87"/>
    </row>
    <row r="88" spans="16:32" x14ac:dyDescent="0.25">
      <c r="P88" s="89"/>
      <c r="Q88" s="87"/>
      <c r="R88" s="87"/>
      <c r="S88" s="87"/>
      <c r="T88" s="87"/>
      <c r="U88" s="87"/>
      <c r="V88" s="88"/>
      <c r="W88" s="88"/>
      <c r="X88" s="88"/>
      <c r="Y88" s="88"/>
      <c r="Z88" s="88"/>
      <c r="AA88" s="88"/>
      <c r="AB88" s="88"/>
      <c r="AC88" s="88"/>
      <c r="AD88" s="88"/>
      <c r="AE88" s="87"/>
      <c r="AF88" s="87"/>
    </row>
    <row r="89" spans="16:32" x14ac:dyDescent="0.25">
      <c r="P89" s="89"/>
      <c r="Q89" s="87"/>
      <c r="R89" s="87"/>
      <c r="S89" s="87"/>
      <c r="T89" s="87"/>
      <c r="U89" s="87"/>
      <c r="V89" s="88"/>
      <c r="W89" s="88"/>
      <c r="X89" s="88"/>
      <c r="Y89" s="88"/>
      <c r="Z89" s="88"/>
      <c r="AA89" s="88"/>
      <c r="AB89" s="88"/>
      <c r="AC89" s="88"/>
      <c r="AD89" s="88"/>
      <c r="AE89" s="87"/>
      <c r="AF89" s="87"/>
    </row>
    <row r="90" spans="16:32" x14ac:dyDescent="0.25">
      <c r="P90" s="89"/>
      <c r="Q90" s="87"/>
      <c r="R90" s="87"/>
      <c r="S90" s="87"/>
      <c r="T90" s="87"/>
      <c r="U90" s="87"/>
      <c r="V90" s="88"/>
      <c r="W90" s="88"/>
      <c r="X90" s="88"/>
      <c r="Y90" s="88"/>
      <c r="Z90" s="88"/>
      <c r="AA90" s="88"/>
      <c r="AB90" s="88"/>
      <c r="AC90" s="88"/>
      <c r="AD90" s="88"/>
      <c r="AE90" s="87"/>
      <c r="AF90" s="87"/>
    </row>
    <row r="91" spans="16:32" x14ac:dyDescent="0.25"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</row>
    <row r="92" spans="16:32" x14ac:dyDescent="0.25"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</row>
    <row r="93" spans="16:32" x14ac:dyDescent="0.25"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</row>
    <row r="94" spans="16:32" x14ac:dyDescent="0.25"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</row>
    <row r="95" spans="16:32" x14ac:dyDescent="0.25"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</row>
    <row r="96" spans="16:32" x14ac:dyDescent="0.25"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</row>
    <row r="97" spans="16:32" x14ac:dyDescent="0.25"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</row>
    <row r="98" spans="16:32" x14ac:dyDescent="0.25"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</row>
    <row r="99" spans="16:32" x14ac:dyDescent="0.25"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</row>
    <row r="100" spans="16:32" x14ac:dyDescent="0.25"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</row>
    <row r="101" spans="16:32" x14ac:dyDescent="0.25"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</row>
    <row r="102" spans="16:32" x14ac:dyDescent="0.25"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</row>
    <row r="103" spans="16:32" x14ac:dyDescent="0.25"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</row>
    <row r="104" spans="16:32" x14ac:dyDescent="0.25"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</row>
    <row r="105" spans="16:32" x14ac:dyDescent="0.25"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</row>
    <row r="106" spans="16:32" x14ac:dyDescent="0.25"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</row>
    <row r="107" spans="16:32" x14ac:dyDescent="0.25">
      <c r="P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</row>
    <row r="108" spans="16:32" x14ac:dyDescent="0.25">
      <c r="P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</row>
    <row r="109" spans="16:32" x14ac:dyDescent="0.25">
      <c r="P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</row>
    <row r="110" spans="16:32" x14ac:dyDescent="0.25">
      <c r="P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</row>
    <row r="111" spans="16:32" x14ac:dyDescent="0.25">
      <c r="P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</row>
    <row r="112" spans="16:32" x14ac:dyDescent="0.25">
      <c r="P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</row>
    <row r="113" spans="16:32" x14ac:dyDescent="0.25">
      <c r="P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</row>
    <row r="114" spans="16:32" x14ac:dyDescent="0.25">
      <c r="P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</row>
    <row r="115" spans="16:32" x14ac:dyDescent="0.25">
      <c r="P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64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D56" sqref="D56"/>
    </sheetView>
  </sheetViews>
  <sheetFormatPr defaultRowHeight="15" x14ac:dyDescent="0.25"/>
  <cols>
    <col min="8" max="8" width="21.7109375" customWidth="1"/>
  </cols>
  <sheetData>
    <row r="1" spans="1:12" x14ac:dyDescent="0.25">
      <c r="B1" t="s">
        <v>93</v>
      </c>
      <c r="C1" t="s">
        <v>90</v>
      </c>
      <c r="D1" t="s">
        <v>57</v>
      </c>
      <c r="E1" t="s">
        <v>66</v>
      </c>
      <c r="H1" t="s">
        <v>82</v>
      </c>
      <c r="I1" t="s">
        <v>83</v>
      </c>
      <c r="K1" t="s">
        <v>92</v>
      </c>
      <c r="L1" t="s">
        <v>66</v>
      </c>
    </row>
    <row r="2" spans="1:12" x14ac:dyDescent="0.25">
      <c r="A2" t="s">
        <v>94</v>
      </c>
      <c r="B2">
        <v>20</v>
      </c>
      <c r="C2">
        <v>15</v>
      </c>
      <c r="D2">
        <f t="shared" ref="D2:D33" si="0">C2/20</f>
        <v>0.75</v>
      </c>
      <c r="E2">
        <f t="shared" ref="E2:E54" si="1">1-BINOMDIST(C2-1,B2,0.5,TRUE)</f>
        <v>2.0694732666015625E-2</v>
      </c>
      <c r="H2">
        <v>15</v>
      </c>
      <c r="I2">
        <v>1</v>
      </c>
      <c r="J2">
        <f t="shared" ref="J2:J11" si="2">H2*I2</f>
        <v>15</v>
      </c>
      <c r="K2">
        <v>1.478577E-2</v>
      </c>
    </row>
    <row r="3" spans="1:12" x14ac:dyDescent="0.25">
      <c r="B3">
        <v>20</v>
      </c>
      <c r="C3">
        <v>14</v>
      </c>
      <c r="D3">
        <f t="shared" si="0"/>
        <v>0.7</v>
      </c>
      <c r="E3">
        <f t="shared" si="1"/>
        <v>5.7659149169921875E-2</v>
      </c>
      <c r="H3">
        <v>14</v>
      </c>
      <c r="I3">
        <v>2</v>
      </c>
      <c r="J3">
        <f t="shared" si="2"/>
        <v>28</v>
      </c>
      <c r="K3">
        <v>3.696E-2</v>
      </c>
    </row>
    <row r="4" spans="1:12" x14ac:dyDescent="0.25">
      <c r="B4">
        <v>20</v>
      </c>
      <c r="C4">
        <v>14</v>
      </c>
      <c r="D4">
        <f t="shared" si="0"/>
        <v>0.7</v>
      </c>
      <c r="E4">
        <f t="shared" si="1"/>
        <v>5.7659149169921875E-2</v>
      </c>
      <c r="H4">
        <v>13</v>
      </c>
      <c r="I4">
        <v>5</v>
      </c>
      <c r="J4">
        <f t="shared" si="2"/>
        <v>65</v>
      </c>
      <c r="K4">
        <v>7.392E-2</v>
      </c>
    </row>
    <row r="5" spans="1:12" x14ac:dyDescent="0.25">
      <c r="B5">
        <v>20</v>
      </c>
      <c r="C5">
        <v>13</v>
      </c>
      <c r="D5">
        <f t="shared" si="0"/>
        <v>0.65</v>
      </c>
      <c r="E5">
        <f t="shared" si="1"/>
        <v>0.13158798217773449</v>
      </c>
      <c r="H5">
        <v>12</v>
      </c>
      <c r="I5">
        <v>8</v>
      </c>
      <c r="J5">
        <f t="shared" si="2"/>
        <v>96</v>
      </c>
    </row>
    <row r="6" spans="1:12" x14ac:dyDescent="0.25">
      <c r="B6">
        <v>20</v>
      </c>
      <c r="C6">
        <v>13</v>
      </c>
      <c r="D6">
        <f t="shared" si="0"/>
        <v>0.65</v>
      </c>
      <c r="E6">
        <f t="shared" si="1"/>
        <v>0.13158798217773449</v>
      </c>
      <c r="H6">
        <v>11</v>
      </c>
      <c r="I6">
        <v>6</v>
      </c>
      <c r="J6">
        <f t="shared" si="2"/>
        <v>66</v>
      </c>
    </row>
    <row r="7" spans="1:12" x14ac:dyDescent="0.25">
      <c r="B7">
        <v>20</v>
      </c>
      <c r="C7">
        <v>13</v>
      </c>
      <c r="D7">
        <f t="shared" si="0"/>
        <v>0.65</v>
      </c>
      <c r="E7">
        <f t="shared" si="1"/>
        <v>0.13158798217773449</v>
      </c>
      <c r="H7">
        <v>10</v>
      </c>
      <c r="I7">
        <v>12</v>
      </c>
      <c r="J7">
        <f t="shared" si="2"/>
        <v>120</v>
      </c>
    </row>
    <row r="8" spans="1:12" x14ac:dyDescent="0.25">
      <c r="B8">
        <v>20</v>
      </c>
      <c r="C8">
        <v>13</v>
      </c>
      <c r="D8">
        <f t="shared" si="0"/>
        <v>0.65</v>
      </c>
      <c r="E8">
        <f t="shared" si="1"/>
        <v>0.13158798217773449</v>
      </c>
      <c r="H8">
        <v>9</v>
      </c>
      <c r="I8">
        <v>7</v>
      </c>
      <c r="J8">
        <f t="shared" si="2"/>
        <v>63</v>
      </c>
    </row>
    <row r="9" spans="1:12" x14ac:dyDescent="0.25">
      <c r="B9">
        <v>20</v>
      </c>
      <c r="C9">
        <v>13</v>
      </c>
      <c r="D9">
        <f t="shared" si="0"/>
        <v>0.65</v>
      </c>
      <c r="E9">
        <f t="shared" si="1"/>
        <v>0.13158798217773449</v>
      </c>
      <c r="H9">
        <v>8</v>
      </c>
      <c r="I9">
        <v>8</v>
      </c>
      <c r="J9">
        <f t="shared" si="2"/>
        <v>64</v>
      </c>
    </row>
    <row r="10" spans="1:12" x14ac:dyDescent="0.25">
      <c r="B10">
        <v>20</v>
      </c>
      <c r="C10">
        <v>12</v>
      </c>
      <c r="D10">
        <f t="shared" si="0"/>
        <v>0.6</v>
      </c>
      <c r="E10">
        <f t="shared" si="1"/>
        <v>0.25172233581542969</v>
      </c>
      <c r="H10">
        <v>7</v>
      </c>
      <c r="I10">
        <v>1</v>
      </c>
      <c r="J10">
        <f t="shared" si="2"/>
        <v>7</v>
      </c>
    </row>
    <row r="11" spans="1:12" x14ac:dyDescent="0.25">
      <c r="B11">
        <v>20</v>
      </c>
      <c r="C11">
        <v>12</v>
      </c>
      <c r="D11">
        <f t="shared" si="0"/>
        <v>0.6</v>
      </c>
      <c r="E11">
        <f t="shared" si="1"/>
        <v>0.25172233581542969</v>
      </c>
      <c r="H11">
        <v>6</v>
      </c>
      <c r="I11">
        <v>3</v>
      </c>
      <c r="J11">
        <f t="shared" si="2"/>
        <v>18</v>
      </c>
    </row>
    <row r="12" spans="1:12" x14ac:dyDescent="0.25">
      <c r="B12">
        <v>20</v>
      </c>
      <c r="C12">
        <v>12</v>
      </c>
      <c r="D12">
        <f t="shared" si="0"/>
        <v>0.6</v>
      </c>
      <c r="E12">
        <f t="shared" si="1"/>
        <v>0.25172233581542969</v>
      </c>
      <c r="I12">
        <f>SUM(I2:I11)</f>
        <v>53</v>
      </c>
      <c r="J12">
        <f>SUM(J2:J11)/1060</f>
        <v>0.51132075471698113</v>
      </c>
      <c r="K12" t="s">
        <v>84</v>
      </c>
    </row>
    <row r="13" spans="1:12" x14ac:dyDescent="0.25">
      <c r="B13">
        <v>20</v>
      </c>
      <c r="C13">
        <v>12</v>
      </c>
      <c r="D13">
        <f t="shared" si="0"/>
        <v>0.6</v>
      </c>
      <c r="E13">
        <f t="shared" si="1"/>
        <v>0.25172233581542969</v>
      </c>
    </row>
    <row r="14" spans="1:12" x14ac:dyDescent="0.25">
      <c r="B14">
        <v>20</v>
      </c>
      <c r="C14">
        <v>12</v>
      </c>
      <c r="D14">
        <f t="shared" si="0"/>
        <v>0.6</v>
      </c>
      <c r="E14">
        <f t="shared" si="1"/>
        <v>0.25172233581542969</v>
      </c>
    </row>
    <row r="15" spans="1:12" x14ac:dyDescent="0.25">
      <c r="B15">
        <v>20</v>
      </c>
      <c r="C15">
        <v>12</v>
      </c>
      <c r="D15">
        <f t="shared" si="0"/>
        <v>0.6</v>
      </c>
      <c r="E15">
        <f t="shared" si="1"/>
        <v>0.25172233581542969</v>
      </c>
    </row>
    <row r="16" spans="1:12" x14ac:dyDescent="0.25">
      <c r="B16">
        <v>20</v>
      </c>
      <c r="C16">
        <v>12</v>
      </c>
      <c r="D16">
        <f t="shared" si="0"/>
        <v>0.6</v>
      </c>
      <c r="E16">
        <f t="shared" si="1"/>
        <v>0.25172233581542969</v>
      </c>
    </row>
    <row r="17" spans="2:5" x14ac:dyDescent="0.25">
      <c r="B17">
        <v>20</v>
      </c>
      <c r="C17">
        <v>12</v>
      </c>
      <c r="D17">
        <f t="shared" si="0"/>
        <v>0.6</v>
      </c>
      <c r="E17">
        <f t="shared" si="1"/>
        <v>0.25172233581542969</v>
      </c>
    </row>
    <row r="18" spans="2:5" x14ac:dyDescent="0.25">
      <c r="B18">
        <v>20</v>
      </c>
      <c r="C18">
        <v>11</v>
      </c>
      <c r="D18">
        <f t="shared" si="0"/>
        <v>0.55000000000000004</v>
      </c>
      <c r="E18">
        <f t="shared" si="1"/>
        <v>0.41190147399902344</v>
      </c>
    </row>
    <row r="19" spans="2:5" x14ac:dyDescent="0.25">
      <c r="B19">
        <v>20</v>
      </c>
      <c r="C19">
        <v>11</v>
      </c>
      <c r="D19">
        <f t="shared" si="0"/>
        <v>0.55000000000000004</v>
      </c>
      <c r="E19">
        <f t="shared" si="1"/>
        <v>0.41190147399902344</v>
      </c>
    </row>
    <row r="20" spans="2:5" x14ac:dyDescent="0.25">
      <c r="B20">
        <v>20</v>
      </c>
      <c r="C20">
        <v>11</v>
      </c>
      <c r="D20">
        <f t="shared" si="0"/>
        <v>0.55000000000000004</v>
      </c>
      <c r="E20">
        <f t="shared" si="1"/>
        <v>0.41190147399902344</v>
      </c>
    </row>
    <row r="21" spans="2:5" x14ac:dyDescent="0.25">
      <c r="B21">
        <v>20</v>
      </c>
      <c r="C21">
        <v>11</v>
      </c>
      <c r="D21">
        <f t="shared" si="0"/>
        <v>0.55000000000000004</v>
      </c>
      <c r="E21">
        <f t="shared" si="1"/>
        <v>0.41190147399902344</v>
      </c>
    </row>
    <row r="22" spans="2:5" x14ac:dyDescent="0.25">
      <c r="B22">
        <v>20</v>
      </c>
      <c r="C22">
        <v>11</v>
      </c>
      <c r="D22">
        <f t="shared" si="0"/>
        <v>0.55000000000000004</v>
      </c>
      <c r="E22">
        <f t="shared" si="1"/>
        <v>0.41190147399902344</v>
      </c>
    </row>
    <row r="23" spans="2:5" x14ac:dyDescent="0.25">
      <c r="B23">
        <v>20</v>
      </c>
      <c r="C23">
        <v>11</v>
      </c>
      <c r="D23">
        <f t="shared" si="0"/>
        <v>0.55000000000000004</v>
      </c>
      <c r="E23">
        <f t="shared" si="1"/>
        <v>0.41190147399902344</v>
      </c>
    </row>
    <row r="24" spans="2:5" x14ac:dyDescent="0.25">
      <c r="B24">
        <v>20</v>
      </c>
      <c r="C24">
        <v>10</v>
      </c>
      <c r="D24">
        <f t="shared" si="0"/>
        <v>0.5</v>
      </c>
      <c r="E24">
        <f t="shared" si="1"/>
        <v>0.58809852600097656</v>
      </c>
    </row>
    <row r="25" spans="2:5" x14ac:dyDescent="0.25">
      <c r="B25">
        <v>20</v>
      </c>
      <c r="C25">
        <v>10</v>
      </c>
      <c r="D25">
        <f t="shared" si="0"/>
        <v>0.5</v>
      </c>
      <c r="E25">
        <f t="shared" si="1"/>
        <v>0.58809852600097656</v>
      </c>
    </row>
    <row r="26" spans="2:5" x14ac:dyDescent="0.25">
      <c r="B26">
        <v>20</v>
      </c>
      <c r="C26">
        <v>10</v>
      </c>
      <c r="D26">
        <f t="shared" si="0"/>
        <v>0.5</v>
      </c>
      <c r="E26">
        <f t="shared" si="1"/>
        <v>0.58809852600097656</v>
      </c>
    </row>
    <row r="27" spans="2:5" x14ac:dyDescent="0.25">
      <c r="B27">
        <v>20</v>
      </c>
      <c r="C27">
        <v>10</v>
      </c>
      <c r="D27">
        <f t="shared" si="0"/>
        <v>0.5</v>
      </c>
      <c r="E27">
        <f t="shared" si="1"/>
        <v>0.58809852600097656</v>
      </c>
    </row>
    <row r="28" spans="2:5" x14ac:dyDescent="0.25">
      <c r="B28">
        <v>20</v>
      </c>
      <c r="C28">
        <v>10</v>
      </c>
      <c r="D28">
        <f t="shared" si="0"/>
        <v>0.5</v>
      </c>
      <c r="E28">
        <f t="shared" si="1"/>
        <v>0.58809852600097656</v>
      </c>
    </row>
    <row r="29" spans="2:5" x14ac:dyDescent="0.25">
      <c r="B29">
        <v>20</v>
      </c>
      <c r="C29">
        <v>10</v>
      </c>
      <c r="D29">
        <f t="shared" si="0"/>
        <v>0.5</v>
      </c>
      <c r="E29">
        <f t="shared" si="1"/>
        <v>0.58809852600097656</v>
      </c>
    </row>
    <row r="30" spans="2:5" x14ac:dyDescent="0.25">
      <c r="B30">
        <v>20</v>
      </c>
      <c r="C30">
        <v>10</v>
      </c>
      <c r="D30">
        <f t="shared" si="0"/>
        <v>0.5</v>
      </c>
      <c r="E30">
        <f t="shared" si="1"/>
        <v>0.58809852600097656</v>
      </c>
    </row>
    <row r="31" spans="2:5" x14ac:dyDescent="0.25">
      <c r="B31">
        <v>20</v>
      </c>
      <c r="C31">
        <v>10</v>
      </c>
      <c r="D31">
        <f t="shared" si="0"/>
        <v>0.5</v>
      </c>
      <c r="E31">
        <f t="shared" si="1"/>
        <v>0.58809852600097656</v>
      </c>
    </row>
    <row r="32" spans="2:5" x14ac:dyDescent="0.25">
      <c r="B32">
        <v>20</v>
      </c>
      <c r="C32">
        <v>10</v>
      </c>
      <c r="D32">
        <f t="shared" si="0"/>
        <v>0.5</v>
      </c>
      <c r="E32">
        <f t="shared" si="1"/>
        <v>0.58809852600097656</v>
      </c>
    </row>
    <row r="33" spans="2:5" x14ac:dyDescent="0.25">
      <c r="B33">
        <v>20</v>
      </c>
      <c r="C33">
        <v>10</v>
      </c>
      <c r="D33">
        <f t="shared" si="0"/>
        <v>0.5</v>
      </c>
      <c r="E33">
        <f t="shared" si="1"/>
        <v>0.58809852600097656</v>
      </c>
    </row>
    <row r="34" spans="2:5" x14ac:dyDescent="0.25">
      <c r="B34">
        <v>20</v>
      </c>
      <c r="C34">
        <v>10</v>
      </c>
      <c r="D34">
        <f t="shared" ref="D34:D54" si="3">C34/20</f>
        <v>0.5</v>
      </c>
      <c r="E34">
        <f t="shared" si="1"/>
        <v>0.58809852600097656</v>
      </c>
    </row>
    <row r="35" spans="2:5" x14ac:dyDescent="0.25">
      <c r="B35">
        <v>20</v>
      </c>
      <c r="C35">
        <v>10</v>
      </c>
      <c r="D35">
        <f t="shared" si="3"/>
        <v>0.5</v>
      </c>
      <c r="E35">
        <f t="shared" si="1"/>
        <v>0.58809852600097656</v>
      </c>
    </row>
    <row r="36" spans="2:5" x14ac:dyDescent="0.25">
      <c r="B36">
        <v>20</v>
      </c>
      <c r="C36">
        <v>9</v>
      </c>
      <c r="D36">
        <f t="shared" si="3"/>
        <v>0.45</v>
      </c>
      <c r="E36">
        <f t="shared" si="1"/>
        <v>0.74827766418457031</v>
      </c>
    </row>
    <row r="37" spans="2:5" x14ac:dyDescent="0.25">
      <c r="B37">
        <v>20</v>
      </c>
      <c r="C37">
        <v>9</v>
      </c>
      <c r="D37">
        <f t="shared" si="3"/>
        <v>0.45</v>
      </c>
      <c r="E37">
        <f t="shared" si="1"/>
        <v>0.74827766418457031</v>
      </c>
    </row>
    <row r="38" spans="2:5" x14ac:dyDescent="0.25">
      <c r="B38">
        <v>20</v>
      </c>
      <c r="C38">
        <v>9</v>
      </c>
      <c r="D38">
        <f t="shared" si="3"/>
        <v>0.45</v>
      </c>
      <c r="E38">
        <f t="shared" si="1"/>
        <v>0.74827766418457031</v>
      </c>
    </row>
    <row r="39" spans="2:5" x14ac:dyDescent="0.25">
      <c r="B39">
        <v>20</v>
      </c>
      <c r="C39">
        <v>9</v>
      </c>
      <c r="D39">
        <f t="shared" si="3"/>
        <v>0.45</v>
      </c>
      <c r="E39">
        <f t="shared" si="1"/>
        <v>0.74827766418457031</v>
      </c>
    </row>
    <row r="40" spans="2:5" x14ac:dyDescent="0.25">
      <c r="B40">
        <v>20</v>
      </c>
      <c r="C40">
        <v>9</v>
      </c>
      <c r="D40">
        <f t="shared" si="3"/>
        <v>0.45</v>
      </c>
      <c r="E40">
        <f t="shared" si="1"/>
        <v>0.74827766418457031</v>
      </c>
    </row>
    <row r="41" spans="2:5" x14ac:dyDescent="0.25">
      <c r="B41">
        <v>20</v>
      </c>
      <c r="C41">
        <v>9</v>
      </c>
      <c r="D41">
        <f t="shared" si="3"/>
        <v>0.45</v>
      </c>
      <c r="E41">
        <f t="shared" si="1"/>
        <v>0.74827766418457031</v>
      </c>
    </row>
    <row r="42" spans="2:5" x14ac:dyDescent="0.25">
      <c r="B42">
        <v>20</v>
      </c>
      <c r="C42">
        <v>9</v>
      </c>
      <c r="D42">
        <f t="shared" si="3"/>
        <v>0.45</v>
      </c>
      <c r="E42">
        <f t="shared" si="1"/>
        <v>0.74827766418457031</v>
      </c>
    </row>
    <row r="43" spans="2:5" x14ac:dyDescent="0.25">
      <c r="B43">
        <v>20</v>
      </c>
      <c r="C43">
        <v>8</v>
      </c>
      <c r="D43">
        <f t="shared" si="3"/>
        <v>0.4</v>
      </c>
      <c r="E43">
        <f t="shared" si="1"/>
        <v>0.86841201782226551</v>
      </c>
    </row>
    <row r="44" spans="2:5" x14ac:dyDescent="0.25">
      <c r="B44">
        <v>20</v>
      </c>
      <c r="C44">
        <v>8</v>
      </c>
      <c r="D44">
        <f t="shared" si="3"/>
        <v>0.4</v>
      </c>
      <c r="E44">
        <f t="shared" si="1"/>
        <v>0.86841201782226551</v>
      </c>
    </row>
    <row r="45" spans="2:5" x14ac:dyDescent="0.25">
      <c r="B45">
        <v>20</v>
      </c>
      <c r="C45">
        <v>8</v>
      </c>
      <c r="D45">
        <f t="shared" si="3"/>
        <v>0.4</v>
      </c>
      <c r="E45">
        <f t="shared" si="1"/>
        <v>0.86841201782226551</v>
      </c>
    </row>
    <row r="46" spans="2:5" x14ac:dyDescent="0.25">
      <c r="B46">
        <v>20</v>
      </c>
      <c r="C46">
        <v>8</v>
      </c>
      <c r="D46">
        <f t="shared" si="3"/>
        <v>0.4</v>
      </c>
      <c r="E46">
        <f t="shared" si="1"/>
        <v>0.86841201782226551</v>
      </c>
    </row>
    <row r="47" spans="2:5" x14ac:dyDescent="0.25">
      <c r="B47">
        <v>20</v>
      </c>
      <c r="C47">
        <v>8</v>
      </c>
      <c r="D47">
        <f t="shared" si="3"/>
        <v>0.4</v>
      </c>
      <c r="E47">
        <f t="shared" si="1"/>
        <v>0.86841201782226551</v>
      </c>
    </row>
    <row r="48" spans="2:5" x14ac:dyDescent="0.25">
      <c r="B48">
        <v>20</v>
      </c>
      <c r="C48">
        <v>8</v>
      </c>
      <c r="D48">
        <f t="shared" si="3"/>
        <v>0.4</v>
      </c>
      <c r="E48">
        <f t="shared" si="1"/>
        <v>0.86841201782226551</v>
      </c>
    </row>
    <row r="49" spans="1:5" x14ac:dyDescent="0.25">
      <c r="B49">
        <v>20</v>
      </c>
      <c r="C49">
        <v>8</v>
      </c>
      <c r="D49">
        <f t="shared" si="3"/>
        <v>0.4</v>
      </c>
      <c r="E49">
        <f t="shared" si="1"/>
        <v>0.86841201782226551</v>
      </c>
    </row>
    <row r="50" spans="1:5" x14ac:dyDescent="0.25">
      <c r="B50">
        <v>20</v>
      </c>
      <c r="C50">
        <v>8</v>
      </c>
      <c r="D50">
        <f t="shared" si="3"/>
        <v>0.4</v>
      </c>
      <c r="E50">
        <f t="shared" si="1"/>
        <v>0.86841201782226551</v>
      </c>
    </row>
    <row r="51" spans="1:5" x14ac:dyDescent="0.25">
      <c r="B51">
        <v>20</v>
      </c>
      <c r="C51">
        <v>7</v>
      </c>
      <c r="D51">
        <f t="shared" si="3"/>
        <v>0.35</v>
      </c>
      <c r="E51">
        <f t="shared" si="1"/>
        <v>0.94234085083007813</v>
      </c>
    </row>
    <row r="52" spans="1:5" x14ac:dyDescent="0.25">
      <c r="B52">
        <v>20</v>
      </c>
      <c r="C52">
        <v>6</v>
      </c>
      <c r="D52">
        <f t="shared" si="3"/>
        <v>0.3</v>
      </c>
      <c r="E52">
        <f t="shared" si="1"/>
        <v>0.97930526733398438</v>
      </c>
    </row>
    <row r="53" spans="1:5" x14ac:dyDescent="0.25">
      <c r="B53">
        <v>20</v>
      </c>
      <c r="C53">
        <v>6</v>
      </c>
      <c r="D53">
        <f t="shared" si="3"/>
        <v>0.3</v>
      </c>
      <c r="E53">
        <f t="shared" si="1"/>
        <v>0.97930526733398438</v>
      </c>
    </row>
    <row r="54" spans="1:5" x14ac:dyDescent="0.25">
      <c r="B54">
        <v>20</v>
      </c>
      <c r="C54">
        <v>6</v>
      </c>
      <c r="D54">
        <f t="shared" si="3"/>
        <v>0.3</v>
      </c>
      <c r="E54">
        <f t="shared" si="1"/>
        <v>0.97930526733398438</v>
      </c>
    </row>
    <row r="55" spans="1:5" x14ac:dyDescent="0.25">
      <c r="B55" t="s">
        <v>33</v>
      </c>
      <c r="C55">
        <f>AVERAGE(C2:C54)</f>
        <v>10.226415094339623</v>
      </c>
      <c r="D55">
        <f>AVERAGE(D2:D54)</f>
        <v>0.51132075471698091</v>
      </c>
    </row>
    <row r="56" spans="1:5" x14ac:dyDescent="0.25">
      <c r="B56" t="s">
        <v>9</v>
      </c>
      <c r="C56">
        <f>_xlfn.STDEV.S(C2:C54)</f>
        <v>2.1180679642792959</v>
      </c>
      <c r="D56">
        <f>_xlfn.STDEV.S(D2:D54)</f>
        <v>0.10590339821396674</v>
      </c>
    </row>
    <row r="57" spans="1:5" x14ac:dyDescent="0.25">
      <c r="B57" t="s">
        <v>8</v>
      </c>
      <c r="D57">
        <f>D56/SQRT(53)</f>
        <v>1.4546950502753057E-2</v>
      </c>
    </row>
    <row r="58" spans="1:5" x14ac:dyDescent="0.25">
      <c r="A58" t="s">
        <v>95</v>
      </c>
      <c r="B58">
        <f>SUM(B2:B54)</f>
        <v>1060</v>
      </c>
      <c r="C58">
        <f>SUM(C2:C54)</f>
        <v>542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topLeftCell="A10" workbookViewId="0">
      <selection activeCell="D42" sqref="D42"/>
    </sheetView>
  </sheetViews>
  <sheetFormatPr defaultRowHeight="15" x14ac:dyDescent="0.25"/>
  <cols>
    <col min="1" max="7" width="11.7109375" customWidth="1"/>
  </cols>
  <sheetData>
    <row r="1" spans="2:31" x14ac:dyDescent="0.25">
      <c r="B1" t="s">
        <v>16</v>
      </c>
      <c r="C1" t="s">
        <v>15</v>
      </c>
      <c r="D1" t="s">
        <v>14</v>
      </c>
      <c r="E1" t="s">
        <v>14</v>
      </c>
      <c r="F1" t="s">
        <v>13</v>
      </c>
      <c r="G1" t="s">
        <v>13</v>
      </c>
      <c r="H1" t="s">
        <v>46</v>
      </c>
      <c r="I1" t="s">
        <v>46</v>
      </c>
      <c r="J1" t="s">
        <v>46</v>
      </c>
      <c r="K1" t="s">
        <v>46</v>
      </c>
      <c r="P1" t="s">
        <v>180</v>
      </c>
    </row>
    <row r="2" spans="2:31" x14ac:dyDescent="0.25">
      <c r="B2">
        <v>14</v>
      </c>
      <c r="C2">
        <f t="shared" ref="C2:C41" si="0">B2/20</f>
        <v>0.7</v>
      </c>
      <c r="D2">
        <v>9</v>
      </c>
      <c r="E2">
        <f t="shared" ref="E2:E41" si="1">D2/10</f>
        <v>0.9</v>
      </c>
      <c r="F2">
        <v>8</v>
      </c>
      <c r="G2">
        <f t="shared" ref="G2:G40" si="2">F2/10</f>
        <v>0.8</v>
      </c>
      <c r="H2">
        <v>5</v>
      </c>
      <c r="I2">
        <f t="shared" ref="I2:I41" si="3">H2/5</f>
        <v>1</v>
      </c>
      <c r="J2">
        <v>5</v>
      </c>
      <c r="K2">
        <f t="shared" ref="K2:K41" si="4">J2/5</f>
        <v>1</v>
      </c>
      <c r="L2">
        <v>1</v>
      </c>
      <c r="M2">
        <v>2</v>
      </c>
      <c r="Q2" t="s">
        <v>25</v>
      </c>
      <c r="R2">
        <v>4</v>
      </c>
      <c r="S2">
        <v>3</v>
      </c>
      <c r="T2">
        <v>2</v>
      </c>
      <c r="U2">
        <v>1</v>
      </c>
      <c r="V2">
        <v>0</v>
      </c>
      <c r="W2">
        <v>-1</v>
      </c>
      <c r="X2">
        <v>-2</v>
      </c>
      <c r="Y2">
        <v>-3</v>
      </c>
      <c r="Z2">
        <v>-4</v>
      </c>
      <c r="AA2" t="s">
        <v>24</v>
      </c>
      <c r="AC2" t="s">
        <v>23</v>
      </c>
    </row>
    <row r="3" spans="2:31" x14ac:dyDescent="0.25">
      <c r="B3">
        <v>12</v>
      </c>
      <c r="C3">
        <f t="shared" si="0"/>
        <v>0.6</v>
      </c>
      <c r="D3">
        <v>8</v>
      </c>
      <c r="E3">
        <f t="shared" si="1"/>
        <v>0.8</v>
      </c>
      <c r="F3">
        <v>7</v>
      </c>
      <c r="G3">
        <f t="shared" si="2"/>
        <v>0.7</v>
      </c>
      <c r="H3">
        <v>4</v>
      </c>
      <c r="I3">
        <f t="shared" si="3"/>
        <v>0.8</v>
      </c>
      <c r="J3">
        <v>5</v>
      </c>
      <c r="K3">
        <f t="shared" si="4"/>
        <v>1</v>
      </c>
      <c r="L3">
        <v>9</v>
      </c>
      <c r="M3">
        <v>12</v>
      </c>
      <c r="P3" t="s">
        <v>17</v>
      </c>
      <c r="Q3">
        <v>5.33</v>
      </c>
      <c r="R3">
        <v>5</v>
      </c>
      <c r="S3">
        <v>4</v>
      </c>
      <c r="T3">
        <v>8</v>
      </c>
      <c r="U3">
        <v>2</v>
      </c>
      <c r="V3">
        <v>1</v>
      </c>
      <c r="W3">
        <v>3</v>
      </c>
      <c r="X3">
        <v>2</v>
      </c>
      <c r="Y3">
        <v>1</v>
      </c>
      <c r="Z3">
        <v>0</v>
      </c>
      <c r="AA3">
        <f t="shared" ref="AA3:AA12" si="5">SUM(R3:Z3)</f>
        <v>26</v>
      </c>
      <c r="AC3">
        <f>SUMPRODUCT(R2:Z2,R3:Z3)/AA3</f>
        <v>1.5384615384615385</v>
      </c>
    </row>
    <row r="4" spans="2:31" x14ac:dyDescent="0.25">
      <c r="B4">
        <v>12</v>
      </c>
      <c r="C4">
        <f t="shared" si="0"/>
        <v>0.6</v>
      </c>
      <c r="D4">
        <v>8</v>
      </c>
      <c r="E4">
        <f t="shared" si="1"/>
        <v>0.8</v>
      </c>
      <c r="F4">
        <v>7</v>
      </c>
      <c r="G4">
        <f t="shared" si="2"/>
        <v>0.7</v>
      </c>
      <c r="H4">
        <v>4</v>
      </c>
      <c r="I4">
        <f t="shared" si="3"/>
        <v>0.8</v>
      </c>
      <c r="J4">
        <v>4</v>
      </c>
      <c r="K4">
        <f t="shared" si="4"/>
        <v>0.8</v>
      </c>
      <c r="L4">
        <v>11</v>
      </c>
      <c r="M4">
        <v>16</v>
      </c>
      <c r="Q4">
        <v>5.01</v>
      </c>
      <c r="R4">
        <v>5</v>
      </c>
      <c r="S4">
        <v>9</v>
      </c>
      <c r="T4">
        <v>5</v>
      </c>
      <c r="U4">
        <v>0</v>
      </c>
      <c r="V4">
        <v>0</v>
      </c>
      <c r="W4">
        <v>2</v>
      </c>
      <c r="X4">
        <v>3</v>
      </c>
      <c r="Y4">
        <v>2</v>
      </c>
      <c r="Z4">
        <v>0</v>
      </c>
      <c r="AA4">
        <f t="shared" si="5"/>
        <v>26</v>
      </c>
      <c r="AC4">
        <f>SUMPRODUCT(R2:Z2,R4:Z4)/AA4</f>
        <v>1.6538461538461537</v>
      </c>
    </row>
    <row r="5" spans="2:31" x14ac:dyDescent="0.25">
      <c r="B5">
        <v>12</v>
      </c>
      <c r="C5">
        <f t="shared" si="0"/>
        <v>0.6</v>
      </c>
      <c r="D5">
        <v>8</v>
      </c>
      <c r="E5">
        <f t="shared" si="1"/>
        <v>0.8</v>
      </c>
      <c r="F5">
        <v>6</v>
      </c>
      <c r="G5">
        <f t="shared" si="2"/>
        <v>0.6</v>
      </c>
      <c r="H5">
        <v>4</v>
      </c>
      <c r="I5">
        <f t="shared" si="3"/>
        <v>0.8</v>
      </c>
      <c r="J5">
        <v>4</v>
      </c>
      <c r="K5">
        <f t="shared" si="4"/>
        <v>0.8</v>
      </c>
      <c r="L5">
        <v>13</v>
      </c>
      <c r="M5">
        <v>9</v>
      </c>
      <c r="Q5">
        <v>4.57</v>
      </c>
      <c r="R5">
        <v>9</v>
      </c>
      <c r="S5">
        <v>4</v>
      </c>
      <c r="T5">
        <v>5</v>
      </c>
      <c r="U5">
        <v>2</v>
      </c>
      <c r="V5">
        <v>0</v>
      </c>
      <c r="W5">
        <v>1</v>
      </c>
      <c r="X5">
        <v>5</v>
      </c>
      <c r="Y5">
        <v>0</v>
      </c>
      <c r="Z5">
        <v>1</v>
      </c>
      <c r="AA5">
        <f t="shared" si="5"/>
        <v>27</v>
      </c>
      <c r="AC5">
        <f>SUMPRODUCT(R2:Z2,R5:Z5)/AA5</f>
        <v>1.6666666666666667</v>
      </c>
    </row>
    <row r="6" spans="2:31" x14ac:dyDescent="0.25">
      <c r="B6">
        <v>12</v>
      </c>
      <c r="C6">
        <f t="shared" si="0"/>
        <v>0.6</v>
      </c>
      <c r="D6">
        <v>8</v>
      </c>
      <c r="E6">
        <f t="shared" si="1"/>
        <v>0.8</v>
      </c>
      <c r="F6">
        <v>6</v>
      </c>
      <c r="G6">
        <f t="shared" si="2"/>
        <v>0.6</v>
      </c>
      <c r="H6">
        <v>4</v>
      </c>
      <c r="I6">
        <f t="shared" si="3"/>
        <v>0.8</v>
      </c>
      <c r="J6">
        <v>4</v>
      </c>
      <c r="K6">
        <f t="shared" si="4"/>
        <v>0.8</v>
      </c>
      <c r="L6">
        <v>5</v>
      </c>
      <c r="M6">
        <v>1</v>
      </c>
      <c r="Q6">
        <v>4.4400000000000004</v>
      </c>
      <c r="R6">
        <v>6</v>
      </c>
      <c r="S6">
        <v>6</v>
      </c>
      <c r="T6">
        <v>5</v>
      </c>
      <c r="U6">
        <v>2</v>
      </c>
      <c r="V6">
        <v>0</v>
      </c>
      <c r="W6">
        <v>1</v>
      </c>
      <c r="X6">
        <v>4</v>
      </c>
      <c r="Y6">
        <v>2</v>
      </c>
      <c r="Z6">
        <v>0</v>
      </c>
      <c r="AA6">
        <f t="shared" si="5"/>
        <v>26</v>
      </c>
      <c r="AC6">
        <f>SUMPRODUCT(R2:Z2,R6:Z6)/AA6</f>
        <v>1.5</v>
      </c>
    </row>
    <row r="7" spans="2:31" x14ac:dyDescent="0.25">
      <c r="B7">
        <v>12</v>
      </c>
      <c r="C7">
        <f t="shared" si="0"/>
        <v>0.6</v>
      </c>
      <c r="D7">
        <v>7</v>
      </c>
      <c r="E7">
        <f t="shared" si="1"/>
        <v>0.7</v>
      </c>
      <c r="F7">
        <v>6</v>
      </c>
      <c r="G7">
        <f t="shared" si="2"/>
        <v>0.6</v>
      </c>
      <c r="H7">
        <v>4</v>
      </c>
      <c r="I7">
        <f t="shared" si="3"/>
        <v>0.8</v>
      </c>
      <c r="J7">
        <v>4</v>
      </c>
      <c r="K7">
        <f t="shared" si="4"/>
        <v>0.8</v>
      </c>
      <c r="L7">
        <v>1</v>
      </c>
      <c r="M7">
        <v>0</v>
      </c>
      <c r="Q7">
        <v>3.63</v>
      </c>
      <c r="R7">
        <v>5</v>
      </c>
      <c r="S7">
        <v>4</v>
      </c>
      <c r="T7">
        <v>7</v>
      </c>
      <c r="U7">
        <v>1</v>
      </c>
      <c r="V7">
        <v>0</v>
      </c>
      <c r="W7">
        <v>3</v>
      </c>
      <c r="X7">
        <v>5</v>
      </c>
      <c r="Y7">
        <v>1</v>
      </c>
      <c r="Z7">
        <v>0</v>
      </c>
      <c r="AA7">
        <f t="shared" si="5"/>
        <v>26</v>
      </c>
      <c r="AC7">
        <f>SUMPRODUCT(R2:Z2,R7:Z7)/AA7</f>
        <v>1.1923076923076923</v>
      </c>
    </row>
    <row r="8" spans="2:31" x14ac:dyDescent="0.25">
      <c r="B8">
        <v>12</v>
      </c>
      <c r="C8">
        <f t="shared" si="0"/>
        <v>0.6</v>
      </c>
      <c r="D8">
        <v>7</v>
      </c>
      <c r="E8">
        <f t="shared" si="1"/>
        <v>0.7</v>
      </c>
      <c r="F8">
        <v>6</v>
      </c>
      <c r="G8">
        <f t="shared" si="2"/>
        <v>0.6</v>
      </c>
      <c r="H8">
        <v>4</v>
      </c>
      <c r="I8">
        <f t="shared" si="3"/>
        <v>0.8</v>
      </c>
      <c r="J8">
        <v>4</v>
      </c>
      <c r="K8">
        <f t="shared" si="4"/>
        <v>0.8</v>
      </c>
      <c r="L8">
        <f>SUM(L2:L7)</f>
        <v>40</v>
      </c>
      <c r="M8">
        <f>SUM(M2:M7)</f>
        <v>40</v>
      </c>
      <c r="Q8">
        <v>2.25</v>
      </c>
      <c r="R8">
        <v>2</v>
      </c>
      <c r="S8">
        <v>4</v>
      </c>
      <c r="T8">
        <v>4</v>
      </c>
      <c r="U8">
        <v>7</v>
      </c>
      <c r="V8">
        <v>1</v>
      </c>
      <c r="W8">
        <v>3</v>
      </c>
      <c r="X8">
        <v>2</v>
      </c>
      <c r="Y8">
        <v>2</v>
      </c>
      <c r="Z8">
        <v>1</v>
      </c>
      <c r="AA8">
        <f t="shared" si="5"/>
        <v>26</v>
      </c>
      <c r="AC8">
        <f>SUMPRODUCT(R2:Z2,R8:Z8)/AA8</f>
        <v>0.69230769230769229</v>
      </c>
    </row>
    <row r="9" spans="2:31" x14ac:dyDescent="0.25">
      <c r="B9">
        <v>11</v>
      </c>
      <c r="C9">
        <f t="shared" si="0"/>
        <v>0.55000000000000004</v>
      </c>
      <c r="D9">
        <v>7</v>
      </c>
      <c r="E9">
        <f t="shared" si="1"/>
        <v>0.7</v>
      </c>
      <c r="F9">
        <v>6</v>
      </c>
      <c r="G9">
        <f t="shared" si="2"/>
        <v>0.6</v>
      </c>
      <c r="H9">
        <v>4</v>
      </c>
      <c r="I9">
        <f t="shared" si="3"/>
        <v>0.8</v>
      </c>
      <c r="J9">
        <v>4</v>
      </c>
      <c r="K9">
        <f t="shared" si="4"/>
        <v>0.8</v>
      </c>
      <c r="Q9">
        <v>1.7</v>
      </c>
      <c r="R9">
        <v>1</v>
      </c>
      <c r="S9">
        <v>1</v>
      </c>
      <c r="T9">
        <v>4</v>
      </c>
      <c r="U9">
        <v>9</v>
      </c>
      <c r="V9">
        <v>5</v>
      </c>
      <c r="W9">
        <v>2</v>
      </c>
      <c r="X9">
        <v>2</v>
      </c>
      <c r="Y9">
        <v>1</v>
      </c>
      <c r="Z9">
        <v>1</v>
      </c>
      <c r="AA9">
        <f t="shared" si="5"/>
        <v>26</v>
      </c>
      <c r="AC9">
        <f>SUMPRODUCT(R2:Z2,R9:Z9)/AA9</f>
        <v>0.42307692307692307</v>
      </c>
    </row>
    <row r="10" spans="2:31" x14ac:dyDescent="0.25">
      <c r="B10">
        <v>11</v>
      </c>
      <c r="C10">
        <f t="shared" si="0"/>
        <v>0.55000000000000004</v>
      </c>
      <c r="D10">
        <v>7</v>
      </c>
      <c r="E10">
        <f t="shared" si="1"/>
        <v>0.7</v>
      </c>
      <c r="F10">
        <v>6</v>
      </c>
      <c r="G10">
        <f t="shared" si="2"/>
        <v>0.6</v>
      </c>
      <c r="H10">
        <v>4</v>
      </c>
      <c r="I10">
        <f t="shared" si="3"/>
        <v>0.8</v>
      </c>
      <c r="J10">
        <v>4</v>
      </c>
      <c r="K10">
        <f t="shared" si="4"/>
        <v>0.8</v>
      </c>
      <c r="Q10">
        <v>1.1299999999999999</v>
      </c>
      <c r="R10">
        <v>0</v>
      </c>
      <c r="S10">
        <v>3</v>
      </c>
      <c r="T10">
        <v>6</v>
      </c>
      <c r="U10">
        <v>5</v>
      </c>
      <c r="V10">
        <v>2</v>
      </c>
      <c r="W10">
        <v>5</v>
      </c>
      <c r="X10">
        <v>3</v>
      </c>
      <c r="Y10">
        <v>1</v>
      </c>
      <c r="Z10">
        <v>1</v>
      </c>
      <c r="AA10">
        <f t="shared" si="5"/>
        <v>26</v>
      </c>
      <c r="AC10">
        <f>SUMPRODUCT(R2:Z2,R10:Z10)/AA10</f>
        <v>0.30769230769230771</v>
      </c>
    </row>
    <row r="11" spans="2:31" x14ac:dyDescent="0.25">
      <c r="B11">
        <v>11</v>
      </c>
      <c r="C11">
        <f t="shared" si="0"/>
        <v>0.55000000000000004</v>
      </c>
      <c r="D11">
        <v>7</v>
      </c>
      <c r="E11">
        <f t="shared" si="1"/>
        <v>0.7</v>
      </c>
      <c r="F11">
        <v>5</v>
      </c>
      <c r="G11">
        <f t="shared" si="2"/>
        <v>0.5</v>
      </c>
      <c r="H11">
        <v>4</v>
      </c>
      <c r="I11">
        <f t="shared" si="3"/>
        <v>0.8</v>
      </c>
      <c r="J11">
        <v>4</v>
      </c>
      <c r="K11">
        <f t="shared" si="4"/>
        <v>0.8</v>
      </c>
      <c r="Q11">
        <v>1.1200000000000001</v>
      </c>
      <c r="R11">
        <v>1</v>
      </c>
      <c r="S11">
        <v>3</v>
      </c>
      <c r="T11">
        <v>4</v>
      </c>
      <c r="U11">
        <v>6</v>
      </c>
      <c r="V11">
        <v>1</v>
      </c>
      <c r="W11">
        <v>4</v>
      </c>
      <c r="X11">
        <v>6</v>
      </c>
      <c r="Y11">
        <v>1</v>
      </c>
      <c r="Z11">
        <v>0</v>
      </c>
      <c r="AA11">
        <f t="shared" si="5"/>
        <v>26</v>
      </c>
      <c r="AC11">
        <f>SUMPRODUCT(R2:Z2,R11:Z11)/AA11</f>
        <v>0.30769230769230771</v>
      </c>
    </row>
    <row r="12" spans="2:31" x14ac:dyDescent="0.25">
      <c r="B12">
        <v>11</v>
      </c>
      <c r="C12">
        <f t="shared" si="0"/>
        <v>0.55000000000000004</v>
      </c>
      <c r="D12">
        <v>7</v>
      </c>
      <c r="E12">
        <f t="shared" si="1"/>
        <v>0.7</v>
      </c>
      <c r="F12">
        <v>5</v>
      </c>
      <c r="G12">
        <f t="shared" si="2"/>
        <v>0.5</v>
      </c>
      <c r="H12">
        <v>3</v>
      </c>
      <c r="I12">
        <f t="shared" si="3"/>
        <v>0.6</v>
      </c>
      <c r="J12">
        <v>4</v>
      </c>
      <c r="K12">
        <f t="shared" si="4"/>
        <v>0.8</v>
      </c>
      <c r="Q12">
        <v>0.14000000000000001</v>
      </c>
      <c r="R12">
        <v>1</v>
      </c>
      <c r="S12">
        <v>0</v>
      </c>
      <c r="T12">
        <v>8</v>
      </c>
      <c r="U12">
        <v>2</v>
      </c>
      <c r="V12">
        <v>3</v>
      </c>
      <c r="W12">
        <v>3</v>
      </c>
      <c r="X12">
        <v>9</v>
      </c>
      <c r="Y12">
        <v>0</v>
      </c>
      <c r="Z12">
        <v>0</v>
      </c>
      <c r="AA12">
        <f t="shared" si="5"/>
        <v>26</v>
      </c>
      <c r="AC12">
        <f>SUMPRODUCT(R2:Z2,R12:Z12)/AA12</f>
        <v>3.8461538461538464E-2</v>
      </c>
    </row>
    <row r="13" spans="2:31" x14ac:dyDescent="0.25">
      <c r="B13">
        <v>11</v>
      </c>
      <c r="C13">
        <f t="shared" si="0"/>
        <v>0.55000000000000004</v>
      </c>
      <c r="D13">
        <v>7</v>
      </c>
      <c r="E13">
        <f t="shared" si="1"/>
        <v>0.7</v>
      </c>
      <c r="F13">
        <v>5</v>
      </c>
      <c r="G13">
        <f t="shared" si="2"/>
        <v>0.5</v>
      </c>
      <c r="H13">
        <v>3</v>
      </c>
      <c r="I13">
        <f t="shared" si="3"/>
        <v>0.6</v>
      </c>
      <c r="J13">
        <v>4</v>
      </c>
      <c r="K13">
        <f t="shared" si="4"/>
        <v>0.8</v>
      </c>
      <c r="AA13" t="s">
        <v>22</v>
      </c>
      <c r="AB13" t="s">
        <v>21</v>
      </c>
      <c r="AC13" t="s">
        <v>20</v>
      </c>
      <c r="AD13" t="s">
        <v>19</v>
      </c>
      <c r="AE13" t="s">
        <v>18</v>
      </c>
    </row>
    <row r="14" spans="2:31" x14ac:dyDescent="0.25">
      <c r="B14">
        <v>11</v>
      </c>
      <c r="C14">
        <f t="shared" si="0"/>
        <v>0.55000000000000004</v>
      </c>
      <c r="D14">
        <v>6</v>
      </c>
      <c r="E14">
        <f t="shared" si="1"/>
        <v>0.6</v>
      </c>
      <c r="F14">
        <v>5</v>
      </c>
      <c r="G14">
        <f t="shared" si="2"/>
        <v>0.5</v>
      </c>
      <c r="H14">
        <v>3</v>
      </c>
      <c r="I14">
        <f t="shared" si="3"/>
        <v>0.6</v>
      </c>
      <c r="J14">
        <v>4</v>
      </c>
      <c r="K14">
        <f t="shared" si="4"/>
        <v>0.8</v>
      </c>
      <c r="P14" t="s">
        <v>17</v>
      </c>
      <c r="R14">
        <f>R3*(R2-AC3)*(R2-AC3)</f>
        <v>30.295857988165682</v>
      </c>
      <c r="S14">
        <f>S3*(S2-AC3)*(S2-AC3)</f>
        <v>8.5443786982248504</v>
      </c>
      <c r="T14">
        <f>T3*(T2-AC3)*(T2-AC3)</f>
        <v>1.7041420118343189</v>
      </c>
      <c r="U14">
        <f>U3*(U2-AC3)*(U2-AC3)</f>
        <v>0.57988165680473391</v>
      </c>
      <c r="V14">
        <f>V3*(V2-AC3)*(V2-AC3)</f>
        <v>2.3668639053254439</v>
      </c>
      <c r="W14">
        <f>W3*(W2-AC3)*(W2-AC3)</f>
        <v>19.331360946745558</v>
      </c>
      <c r="X14">
        <f>X3*(X2-AC3)*(X2-AC3)</f>
        <v>25.041420118343193</v>
      </c>
      <c r="Y14">
        <f>Y3*(Y2-AC3)*(Y2-AC3)</f>
        <v>20.597633136094672</v>
      </c>
      <c r="Z14">
        <f>Z3*(Z2-AC3)*(Z2-AC3)</f>
        <v>0</v>
      </c>
      <c r="AA14">
        <f>SQRT(SUM(R14:Z14)/AA3)</f>
        <v>2.0424489303618083</v>
      </c>
      <c r="AB14">
        <f>SQRT(SUM(R14:Z14)/(AA3-1))</f>
        <v>2.0828973902863144</v>
      </c>
      <c r="AC14">
        <f>AC3/(AA14/SQRT(AA3))</f>
        <v>3.8408036984002956</v>
      </c>
      <c r="AD14">
        <f>AC3/(AB14/SQRT(AA3))</f>
        <v>3.7662178857735471</v>
      </c>
      <c r="AE14">
        <v>1.708</v>
      </c>
    </row>
    <row r="15" spans="2:31" x14ac:dyDescent="0.25">
      <c r="B15">
        <v>11</v>
      </c>
      <c r="C15">
        <f t="shared" si="0"/>
        <v>0.55000000000000004</v>
      </c>
      <c r="D15">
        <v>6</v>
      </c>
      <c r="E15">
        <f t="shared" si="1"/>
        <v>0.6</v>
      </c>
      <c r="F15">
        <v>5</v>
      </c>
      <c r="G15">
        <f t="shared" si="2"/>
        <v>0.5</v>
      </c>
      <c r="H15">
        <v>3</v>
      </c>
      <c r="I15">
        <f t="shared" si="3"/>
        <v>0.6</v>
      </c>
      <c r="J15">
        <v>4</v>
      </c>
      <c r="K15">
        <f t="shared" si="4"/>
        <v>0.8</v>
      </c>
      <c r="R15">
        <f>R4*(R2-AC4)*(R2-AC4)</f>
        <v>27.522189349112431</v>
      </c>
      <c r="S15">
        <f>S4*(S2-AC4)*(S2-AC4)</f>
        <v>16.309171597633139</v>
      </c>
      <c r="T15">
        <f>T4*(T2-AC4)*(T2-AC4)</f>
        <v>0.5991124260355033</v>
      </c>
      <c r="U15">
        <f>U4*(U2-AC4)*(U2-AC4)</f>
        <v>0</v>
      </c>
      <c r="V15">
        <f>V4*(V2-AC4)*(V2-AC4)</f>
        <v>0</v>
      </c>
      <c r="W15">
        <f t="shared" ref="W15:AB15" si="6">W4*(W2-AH4)*(W2-AH4)</f>
        <v>2</v>
      </c>
      <c r="X15">
        <f t="shared" si="6"/>
        <v>12</v>
      </c>
      <c r="Y15">
        <f t="shared" si="6"/>
        <v>18</v>
      </c>
      <c r="Z15">
        <f t="shared" si="6"/>
        <v>0</v>
      </c>
      <c r="AA15" t="e">
        <f t="shared" si="6"/>
        <v>#VALUE!</v>
      </c>
      <c r="AB15">
        <f t="shared" si="6"/>
        <v>0</v>
      </c>
      <c r="AC15" t="e">
        <f>AC4/(AA15/SQRT(AA4))</f>
        <v>#VALUE!</v>
      </c>
      <c r="AD15" t="e">
        <f>AC4/(AB15/SQRT(AA4))</f>
        <v>#DIV/0!</v>
      </c>
    </row>
    <row r="16" spans="2:31" x14ac:dyDescent="0.25">
      <c r="B16">
        <v>11</v>
      </c>
      <c r="C16">
        <f t="shared" si="0"/>
        <v>0.55000000000000004</v>
      </c>
      <c r="D16">
        <v>6</v>
      </c>
      <c r="E16">
        <f t="shared" si="1"/>
        <v>0.6</v>
      </c>
      <c r="F16">
        <v>5</v>
      </c>
      <c r="G16">
        <f t="shared" si="2"/>
        <v>0.5</v>
      </c>
      <c r="H16">
        <v>3</v>
      </c>
      <c r="I16">
        <f t="shared" si="3"/>
        <v>0.6</v>
      </c>
      <c r="J16">
        <v>3</v>
      </c>
      <c r="K16">
        <f t="shared" si="4"/>
        <v>0.6</v>
      </c>
      <c r="R16">
        <f>R5*(R4-AC5)*(R4-AC5)</f>
        <v>99.999999999999986</v>
      </c>
      <c r="S16">
        <f>S5*(S4-AC5)*(S4-AC5)</f>
        <v>215.11111111111109</v>
      </c>
      <c r="T16">
        <f>T5*(T4-AC5)*(T4-AC5)</f>
        <v>55.555555555555543</v>
      </c>
      <c r="U16">
        <f>U5*(U4-AC5)*(U4-AC5)</f>
        <v>5.5555555555555562</v>
      </c>
      <c r="V16">
        <f>V5*(V4-AC5)*(V4-AC5)</f>
        <v>0</v>
      </c>
      <c r="W16">
        <f>W5*(W4-AC5)*(W4-AC5)</f>
        <v>0.11111111111111106</v>
      </c>
      <c r="X16">
        <f>X5*(X4-AC5)*(X4-AC5)</f>
        <v>8.8888888888888875</v>
      </c>
      <c r="Y16">
        <f>Y5*(Y4-AC5)*(Y4-AC5)</f>
        <v>0</v>
      </c>
      <c r="Z16">
        <f>Z5*(Z4-AC5)*(Z4-AC5)</f>
        <v>2.7777777777777781</v>
      </c>
      <c r="AA16">
        <f>SQRT(SUM(R16:Z16)/AA5)</f>
        <v>3.7908271353848844</v>
      </c>
      <c r="AB16">
        <f>SQRT(SUM(R16:Z16)/(AA5-1))</f>
        <v>3.8630398552276057</v>
      </c>
      <c r="AC16">
        <f>AC5/(AA16/SQRT(AA5))</f>
        <v>2.2845288715506431</v>
      </c>
      <c r="AD16">
        <f>AC5/(AB16/SQRT(AA5))</f>
        <v>2.2418236317507874</v>
      </c>
    </row>
    <row r="17" spans="2:30" x14ac:dyDescent="0.25">
      <c r="B17">
        <v>11</v>
      </c>
      <c r="C17">
        <f t="shared" si="0"/>
        <v>0.55000000000000004</v>
      </c>
      <c r="D17">
        <v>6</v>
      </c>
      <c r="E17">
        <f t="shared" si="1"/>
        <v>0.6</v>
      </c>
      <c r="F17">
        <v>5</v>
      </c>
      <c r="G17">
        <f t="shared" si="2"/>
        <v>0.5</v>
      </c>
      <c r="H17">
        <v>3</v>
      </c>
      <c r="I17">
        <f t="shared" si="3"/>
        <v>0.6</v>
      </c>
      <c r="J17">
        <v>3</v>
      </c>
      <c r="K17">
        <f t="shared" si="4"/>
        <v>0.6</v>
      </c>
      <c r="R17">
        <f>R6*(R5-AC6)*(R5-AC6)</f>
        <v>337.5</v>
      </c>
      <c r="S17">
        <f>S6*(S5-AC6)*(S5-AC6)</f>
        <v>37.5</v>
      </c>
      <c r="T17">
        <f>T6*(T5-AC6)*(T5-AC6)</f>
        <v>61.25</v>
      </c>
      <c r="U17">
        <f>U6*(U5-AC6)*(U5-AC6)</f>
        <v>0.5</v>
      </c>
      <c r="V17">
        <f>V6*(V5-AC6)*(V5-AC6)</f>
        <v>0</v>
      </c>
      <c r="W17">
        <f>W6*(W5-AC6)*(W5-AC6)</f>
        <v>0.25</v>
      </c>
      <c r="X17">
        <f>X6*(X5-AC6)*(X5-AC6)</f>
        <v>49</v>
      </c>
      <c r="Y17">
        <f>Y6*(Y5-AC6)*(Y5-AC6)</f>
        <v>4.5</v>
      </c>
      <c r="Z17">
        <f>Z6*(Z5-AC6)*(Z5-AC6)</f>
        <v>0</v>
      </c>
      <c r="AA17">
        <f>SQRT(SUM(R17:Z17)/AA6)</f>
        <v>4.3434300518581646</v>
      </c>
      <c r="AB17">
        <f>SQRT(SUM(R17:Z17)/(AA6-1))</f>
        <v>4.4294469180700204</v>
      </c>
      <c r="AC17">
        <f>AC6/(AA17/SQRT(AA6))</f>
        <v>1.7609421998443502</v>
      </c>
      <c r="AD17">
        <f>AC6/(AB17/SQRT(AA6))</f>
        <v>1.7267458921760284</v>
      </c>
    </row>
    <row r="18" spans="2:30" x14ac:dyDescent="0.25">
      <c r="B18">
        <v>11</v>
      </c>
      <c r="C18">
        <f t="shared" si="0"/>
        <v>0.55000000000000004</v>
      </c>
      <c r="D18">
        <v>6</v>
      </c>
      <c r="E18">
        <f t="shared" si="1"/>
        <v>0.6</v>
      </c>
      <c r="F18">
        <v>5</v>
      </c>
      <c r="G18">
        <f t="shared" si="2"/>
        <v>0.5</v>
      </c>
      <c r="H18">
        <v>3</v>
      </c>
      <c r="I18">
        <f t="shared" si="3"/>
        <v>0.6</v>
      </c>
      <c r="J18">
        <v>3</v>
      </c>
      <c r="K18">
        <f t="shared" si="4"/>
        <v>0.6</v>
      </c>
    </row>
    <row r="19" spans="2:30" x14ac:dyDescent="0.25">
      <c r="B19">
        <v>10</v>
      </c>
      <c r="C19">
        <f t="shared" si="0"/>
        <v>0.5</v>
      </c>
      <c r="D19">
        <v>6</v>
      </c>
      <c r="E19">
        <f t="shared" si="1"/>
        <v>0.6</v>
      </c>
      <c r="F19">
        <v>5</v>
      </c>
      <c r="G19">
        <f t="shared" si="2"/>
        <v>0.5</v>
      </c>
      <c r="H19">
        <v>3</v>
      </c>
      <c r="I19">
        <f t="shared" si="3"/>
        <v>0.6</v>
      </c>
      <c r="J19">
        <v>3</v>
      </c>
      <c r="K19">
        <f t="shared" si="4"/>
        <v>0.6</v>
      </c>
    </row>
    <row r="20" spans="2:30" x14ac:dyDescent="0.25">
      <c r="B20">
        <v>10</v>
      </c>
      <c r="C20">
        <f t="shared" si="0"/>
        <v>0.5</v>
      </c>
      <c r="D20">
        <v>6</v>
      </c>
      <c r="E20">
        <f t="shared" si="1"/>
        <v>0.6</v>
      </c>
      <c r="F20">
        <v>4</v>
      </c>
      <c r="G20">
        <f t="shared" si="2"/>
        <v>0.4</v>
      </c>
      <c r="H20">
        <v>3</v>
      </c>
      <c r="I20">
        <f t="shared" si="3"/>
        <v>0.6</v>
      </c>
      <c r="J20">
        <v>3</v>
      </c>
      <c r="K20">
        <f t="shared" si="4"/>
        <v>0.6</v>
      </c>
    </row>
    <row r="21" spans="2:30" x14ac:dyDescent="0.25">
      <c r="B21">
        <v>10</v>
      </c>
      <c r="C21">
        <f t="shared" si="0"/>
        <v>0.5</v>
      </c>
      <c r="D21">
        <v>6</v>
      </c>
      <c r="E21">
        <f t="shared" si="1"/>
        <v>0.6</v>
      </c>
      <c r="F21">
        <v>4</v>
      </c>
      <c r="G21">
        <f t="shared" si="2"/>
        <v>0.4</v>
      </c>
      <c r="H21">
        <v>3</v>
      </c>
      <c r="I21">
        <f t="shared" si="3"/>
        <v>0.6</v>
      </c>
      <c r="J21">
        <v>3</v>
      </c>
      <c r="K21">
        <f t="shared" si="4"/>
        <v>0.6</v>
      </c>
    </row>
    <row r="22" spans="2:30" x14ac:dyDescent="0.25">
      <c r="B22">
        <v>10</v>
      </c>
      <c r="C22">
        <f t="shared" si="0"/>
        <v>0.5</v>
      </c>
      <c r="D22">
        <v>6</v>
      </c>
      <c r="E22">
        <f t="shared" si="1"/>
        <v>0.6</v>
      </c>
      <c r="F22">
        <v>4</v>
      </c>
      <c r="G22">
        <f t="shared" si="2"/>
        <v>0.4</v>
      </c>
      <c r="H22">
        <v>3</v>
      </c>
      <c r="I22">
        <f t="shared" si="3"/>
        <v>0.6</v>
      </c>
      <c r="J22">
        <v>3</v>
      </c>
      <c r="K22">
        <f t="shared" si="4"/>
        <v>0.6</v>
      </c>
      <c r="R22">
        <v>5</v>
      </c>
      <c r="S22">
        <v>2</v>
      </c>
      <c r="T22">
        <v>-1</v>
      </c>
      <c r="U22">
        <v>1</v>
      </c>
      <c r="V22">
        <v>7</v>
      </c>
      <c r="W22">
        <v>0</v>
      </c>
      <c r="X22">
        <v>-2</v>
      </c>
      <c r="Y22">
        <v>-4</v>
      </c>
      <c r="Z22">
        <v>5</v>
      </c>
      <c r="AA22">
        <f>AVERAGE(R22:Z22)</f>
        <v>1.4444444444444444</v>
      </c>
      <c r="AB22">
        <f>STDEV(R22:Z22)</f>
        <v>3.6438685181792412</v>
      </c>
      <c r="AC22">
        <f>STDEVA(R22:Z22)</f>
        <v>3.6438685181792412</v>
      </c>
      <c r="AD22">
        <f>_xlfn.STDEV.S(R22:Z22)</f>
        <v>3.6438685181792412</v>
      </c>
    </row>
    <row r="23" spans="2:30" x14ac:dyDescent="0.25">
      <c r="B23">
        <v>9</v>
      </c>
      <c r="C23">
        <f t="shared" si="0"/>
        <v>0.45</v>
      </c>
      <c r="D23">
        <v>5</v>
      </c>
      <c r="E23">
        <f t="shared" si="1"/>
        <v>0.5</v>
      </c>
      <c r="F23">
        <v>4</v>
      </c>
      <c r="G23">
        <f t="shared" si="2"/>
        <v>0.4</v>
      </c>
      <c r="H23">
        <v>2</v>
      </c>
      <c r="I23">
        <f t="shared" si="3"/>
        <v>0.4</v>
      </c>
      <c r="J23">
        <v>3</v>
      </c>
      <c r="K23">
        <f t="shared" si="4"/>
        <v>0.6</v>
      </c>
      <c r="R23">
        <f>R22-AA22</f>
        <v>3.5555555555555554</v>
      </c>
      <c r="S23">
        <f>S22-AA22</f>
        <v>0.55555555555555558</v>
      </c>
      <c r="T23">
        <f>T22-AA22</f>
        <v>-2.4444444444444446</v>
      </c>
      <c r="U23">
        <f>U22-AA22</f>
        <v>-0.44444444444444442</v>
      </c>
      <c r="V23">
        <f>V22-AA22</f>
        <v>5.5555555555555554</v>
      </c>
      <c r="W23">
        <f>W22-AA22</f>
        <v>-1.4444444444444444</v>
      </c>
      <c r="X23">
        <f>X22-AA22</f>
        <v>-3.4444444444444446</v>
      </c>
      <c r="Y23">
        <f>Y22-AA22</f>
        <v>-5.4444444444444446</v>
      </c>
      <c r="Z23">
        <f>Z22-AA22</f>
        <v>3.5555555555555554</v>
      </c>
      <c r="AA23">
        <f>STDEVPA(R22:Z22)</f>
        <v>3.4354721852756236</v>
      </c>
    </row>
    <row r="24" spans="2:30" x14ac:dyDescent="0.25">
      <c r="B24">
        <v>9</v>
      </c>
      <c r="C24">
        <f t="shared" si="0"/>
        <v>0.45</v>
      </c>
      <c r="D24">
        <v>5</v>
      </c>
      <c r="E24">
        <f t="shared" si="1"/>
        <v>0.5</v>
      </c>
      <c r="F24">
        <v>4</v>
      </c>
      <c r="G24">
        <f t="shared" si="2"/>
        <v>0.4</v>
      </c>
      <c r="H24">
        <v>2</v>
      </c>
      <c r="I24">
        <f t="shared" si="3"/>
        <v>0.4</v>
      </c>
      <c r="J24">
        <v>3</v>
      </c>
      <c r="K24">
        <f t="shared" si="4"/>
        <v>0.6</v>
      </c>
      <c r="R24">
        <f t="shared" ref="R24:Z24" si="7">POWER(R23,2)</f>
        <v>12.641975308641975</v>
      </c>
      <c r="S24">
        <f t="shared" si="7"/>
        <v>0.30864197530864201</v>
      </c>
      <c r="T24">
        <f t="shared" si="7"/>
        <v>5.9753086419753094</v>
      </c>
      <c r="U24">
        <f t="shared" si="7"/>
        <v>0.19753086419753085</v>
      </c>
      <c r="V24">
        <f t="shared" si="7"/>
        <v>30.864197530864196</v>
      </c>
      <c r="W24">
        <f t="shared" si="7"/>
        <v>2.0864197530864197</v>
      </c>
      <c r="X24">
        <f t="shared" si="7"/>
        <v>11.8641975308642</v>
      </c>
      <c r="Y24">
        <f t="shared" si="7"/>
        <v>29.641975308641978</v>
      </c>
      <c r="Z24">
        <f t="shared" si="7"/>
        <v>12.641975308641975</v>
      </c>
      <c r="AA24">
        <f>SUM(R24:Z24)</f>
        <v>106.22222222222223</v>
      </c>
    </row>
    <row r="25" spans="2:30" x14ac:dyDescent="0.25">
      <c r="B25">
        <v>9</v>
      </c>
      <c r="C25">
        <f t="shared" si="0"/>
        <v>0.45</v>
      </c>
      <c r="D25">
        <v>5</v>
      </c>
      <c r="E25">
        <f t="shared" si="1"/>
        <v>0.5</v>
      </c>
      <c r="F25">
        <v>4</v>
      </c>
      <c r="G25">
        <f t="shared" si="2"/>
        <v>0.4</v>
      </c>
      <c r="H25">
        <v>2</v>
      </c>
      <c r="I25">
        <f t="shared" si="3"/>
        <v>0.4</v>
      </c>
      <c r="J25">
        <v>3</v>
      </c>
      <c r="K25">
        <f t="shared" si="4"/>
        <v>0.6</v>
      </c>
    </row>
    <row r="26" spans="2:30" x14ac:dyDescent="0.25">
      <c r="B26">
        <v>9</v>
      </c>
      <c r="C26">
        <f t="shared" si="0"/>
        <v>0.45</v>
      </c>
      <c r="D26">
        <v>5</v>
      </c>
      <c r="E26">
        <f t="shared" si="1"/>
        <v>0.5</v>
      </c>
      <c r="F26">
        <v>4</v>
      </c>
      <c r="G26">
        <f t="shared" si="2"/>
        <v>0.4</v>
      </c>
      <c r="H26">
        <v>2</v>
      </c>
      <c r="I26">
        <f t="shared" si="3"/>
        <v>0.4</v>
      </c>
      <c r="J26">
        <v>3</v>
      </c>
      <c r="K26">
        <f t="shared" si="4"/>
        <v>0.6</v>
      </c>
    </row>
    <row r="27" spans="2:30" x14ac:dyDescent="0.25">
      <c r="B27">
        <v>9</v>
      </c>
      <c r="C27">
        <f t="shared" si="0"/>
        <v>0.45</v>
      </c>
      <c r="D27">
        <v>5</v>
      </c>
      <c r="E27">
        <f t="shared" si="1"/>
        <v>0.5</v>
      </c>
      <c r="F27">
        <v>4</v>
      </c>
      <c r="G27">
        <f t="shared" si="2"/>
        <v>0.4</v>
      </c>
      <c r="H27">
        <v>2</v>
      </c>
      <c r="I27">
        <f t="shared" si="3"/>
        <v>0.4</v>
      </c>
      <c r="J27">
        <v>3</v>
      </c>
      <c r="K27">
        <f t="shared" si="4"/>
        <v>0.6</v>
      </c>
    </row>
    <row r="28" spans="2:30" x14ac:dyDescent="0.25">
      <c r="B28">
        <v>9</v>
      </c>
      <c r="C28">
        <f t="shared" si="0"/>
        <v>0.45</v>
      </c>
      <c r="D28">
        <v>5</v>
      </c>
      <c r="E28">
        <f t="shared" si="1"/>
        <v>0.5</v>
      </c>
      <c r="F28">
        <v>4</v>
      </c>
      <c r="G28">
        <f t="shared" si="2"/>
        <v>0.4</v>
      </c>
      <c r="H28">
        <v>2</v>
      </c>
      <c r="I28">
        <f t="shared" si="3"/>
        <v>0.4</v>
      </c>
      <c r="J28">
        <v>3</v>
      </c>
      <c r="K28">
        <f t="shared" si="4"/>
        <v>0.6</v>
      </c>
    </row>
    <row r="29" spans="2:30" x14ac:dyDescent="0.25">
      <c r="B29">
        <v>9</v>
      </c>
      <c r="C29">
        <f t="shared" si="0"/>
        <v>0.45</v>
      </c>
      <c r="D29">
        <v>5</v>
      </c>
      <c r="E29">
        <f t="shared" si="1"/>
        <v>0.5</v>
      </c>
      <c r="F29">
        <v>4</v>
      </c>
      <c r="G29">
        <f t="shared" si="2"/>
        <v>0.4</v>
      </c>
      <c r="H29">
        <v>2</v>
      </c>
      <c r="I29">
        <f t="shared" si="3"/>
        <v>0.4</v>
      </c>
      <c r="J29">
        <v>3</v>
      </c>
      <c r="K29">
        <f t="shared" si="4"/>
        <v>0.6</v>
      </c>
    </row>
    <row r="30" spans="2:30" x14ac:dyDescent="0.25">
      <c r="B30">
        <v>9</v>
      </c>
      <c r="C30">
        <f t="shared" si="0"/>
        <v>0.45</v>
      </c>
      <c r="D30">
        <v>5</v>
      </c>
      <c r="E30">
        <f t="shared" si="1"/>
        <v>0.5</v>
      </c>
      <c r="F30">
        <v>3</v>
      </c>
      <c r="G30">
        <f t="shared" si="2"/>
        <v>0.3</v>
      </c>
      <c r="H30">
        <v>2</v>
      </c>
      <c r="I30">
        <f t="shared" si="3"/>
        <v>0.4</v>
      </c>
      <c r="J30">
        <v>3</v>
      </c>
      <c r="K30">
        <f t="shared" si="4"/>
        <v>0.6</v>
      </c>
    </row>
    <row r="31" spans="2:30" x14ac:dyDescent="0.25">
      <c r="B31">
        <v>9</v>
      </c>
      <c r="C31">
        <f t="shared" si="0"/>
        <v>0.45</v>
      </c>
      <c r="D31">
        <v>5</v>
      </c>
      <c r="E31">
        <f t="shared" si="1"/>
        <v>0.5</v>
      </c>
      <c r="F31">
        <v>3</v>
      </c>
      <c r="G31">
        <f t="shared" si="2"/>
        <v>0.3</v>
      </c>
      <c r="H31">
        <v>2</v>
      </c>
      <c r="I31">
        <f t="shared" si="3"/>
        <v>0.4</v>
      </c>
      <c r="J31">
        <v>3</v>
      </c>
      <c r="K31">
        <f t="shared" si="4"/>
        <v>0.6</v>
      </c>
    </row>
    <row r="32" spans="2:30" x14ac:dyDescent="0.25">
      <c r="B32">
        <v>9</v>
      </c>
      <c r="C32">
        <f t="shared" si="0"/>
        <v>0.45</v>
      </c>
      <c r="D32">
        <v>5</v>
      </c>
      <c r="E32">
        <f t="shared" si="1"/>
        <v>0.5</v>
      </c>
      <c r="F32">
        <v>3</v>
      </c>
      <c r="G32">
        <f t="shared" si="2"/>
        <v>0.3</v>
      </c>
      <c r="H32">
        <v>2</v>
      </c>
      <c r="I32">
        <f t="shared" si="3"/>
        <v>0.4</v>
      </c>
      <c r="J32">
        <v>2</v>
      </c>
      <c r="K32">
        <f t="shared" si="4"/>
        <v>0.4</v>
      </c>
    </row>
    <row r="33" spans="1:11" x14ac:dyDescent="0.25">
      <c r="B33">
        <v>9</v>
      </c>
      <c r="C33">
        <f t="shared" si="0"/>
        <v>0.45</v>
      </c>
      <c r="D33">
        <v>4</v>
      </c>
      <c r="E33">
        <f t="shared" si="1"/>
        <v>0.4</v>
      </c>
      <c r="F33">
        <v>3</v>
      </c>
      <c r="G33">
        <f t="shared" si="2"/>
        <v>0.3</v>
      </c>
      <c r="H33">
        <v>2</v>
      </c>
      <c r="I33">
        <f t="shared" si="3"/>
        <v>0.4</v>
      </c>
      <c r="J33">
        <v>2</v>
      </c>
      <c r="K33">
        <f t="shared" si="4"/>
        <v>0.4</v>
      </c>
    </row>
    <row r="34" spans="1:11" x14ac:dyDescent="0.25">
      <c r="B34">
        <v>8</v>
      </c>
      <c r="C34">
        <f t="shared" si="0"/>
        <v>0.4</v>
      </c>
      <c r="D34">
        <v>4</v>
      </c>
      <c r="E34">
        <f t="shared" si="1"/>
        <v>0.4</v>
      </c>
      <c r="F34">
        <v>2</v>
      </c>
      <c r="G34">
        <f t="shared" si="2"/>
        <v>0.2</v>
      </c>
      <c r="H34">
        <v>2</v>
      </c>
      <c r="I34">
        <f t="shared" si="3"/>
        <v>0.4</v>
      </c>
      <c r="J34">
        <v>2</v>
      </c>
      <c r="K34">
        <f t="shared" si="4"/>
        <v>0.4</v>
      </c>
    </row>
    <row r="35" spans="1:11" x14ac:dyDescent="0.25">
      <c r="B35">
        <v>8</v>
      </c>
      <c r="C35">
        <f t="shared" si="0"/>
        <v>0.4</v>
      </c>
      <c r="D35">
        <v>4</v>
      </c>
      <c r="E35">
        <f t="shared" si="1"/>
        <v>0.4</v>
      </c>
      <c r="F35">
        <v>2</v>
      </c>
      <c r="G35">
        <f t="shared" si="2"/>
        <v>0.2</v>
      </c>
      <c r="H35">
        <v>2</v>
      </c>
      <c r="I35">
        <f t="shared" si="3"/>
        <v>0.4</v>
      </c>
      <c r="J35">
        <v>2</v>
      </c>
      <c r="K35">
        <f t="shared" si="4"/>
        <v>0.4</v>
      </c>
    </row>
    <row r="36" spans="1:11" x14ac:dyDescent="0.25">
      <c r="B36">
        <v>7</v>
      </c>
      <c r="C36">
        <f t="shared" si="0"/>
        <v>0.35</v>
      </c>
      <c r="D36">
        <v>3</v>
      </c>
      <c r="E36">
        <f t="shared" si="1"/>
        <v>0.3</v>
      </c>
      <c r="F36">
        <v>2</v>
      </c>
      <c r="G36">
        <f t="shared" si="2"/>
        <v>0.2</v>
      </c>
      <c r="H36">
        <v>1</v>
      </c>
      <c r="I36">
        <f t="shared" si="3"/>
        <v>0.2</v>
      </c>
      <c r="J36">
        <v>2</v>
      </c>
      <c r="K36">
        <f t="shared" si="4"/>
        <v>0.4</v>
      </c>
    </row>
    <row r="37" spans="1:11" x14ac:dyDescent="0.25">
      <c r="B37">
        <v>7</v>
      </c>
      <c r="C37">
        <f t="shared" si="0"/>
        <v>0.35</v>
      </c>
      <c r="D37">
        <v>3</v>
      </c>
      <c r="E37">
        <f t="shared" si="1"/>
        <v>0.3</v>
      </c>
      <c r="F37">
        <v>2</v>
      </c>
      <c r="G37">
        <f t="shared" si="2"/>
        <v>0.2</v>
      </c>
      <c r="H37">
        <v>1</v>
      </c>
      <c r="I37">
        <f t="shared" si="3"/>
        <v>0.2</v>
      </c>
      <c r="J37">
        <v>2</v>
      </c>
      <c r="K37">
        <f t="shared" si="4"/>
        <v>0.4</v>
      </c>
    </row>
    <row r="38" spans="1:11" x14ac:dyDescent="0.25">
      <c r="B38">
        <v>7</v>
      </c>
      <c r="C38">
        <f t="shared" si="0"/>
        <v>0.35</v>
      </c>
      <c r="D38">
        <v>3</v>
      </c>
      <c r="E38">
        <f t="shared" si="1"/>
        <v>0.3</v>
      </c>
      <c r="F38">
        <v>2</v>
      </c>
      <c r="G38">
        <f t="shared" si="2"/>
        <v>0.2</v>
      </c>
      <c r="H38">
        <v>1</v>
      </c>
      <c r="I38">
        <f t="shared" si="3"/>
        <v>0.2</v>
      </c>
      <c r="J38">
        <v>2</v>
      </c>
      <c r="K38">
        <f t="shared" si="4"/>
        <v>0.4</v>
      </c>
    </row>
    <row r="39" spans="1:11" x14ac:dyDescent="0.25">
      <c r="B39">
        <v>7</v>
      </c>
      <c r="C39">
        <f t="shared" si="0"/>
        <v>0.35</v>
      </c>
      <c r="D39">
        <v>3</v>
      </c>
      <c r="E39">
        <f t="shared" si="1"/>
        <v>0.3</v>
      </c>
      <c r="F39">
        <v>2</v>
      </c>
      <c r="G39">
        <f t="shared" si="2"/>
        <v>0.2</v>
      </c>
      <c r="H39">
        <v>1</v>
      </c>
      <c r="I39">
        <f t="shared" si="3"/>
        <v>0.2</v>
      </c>
      <c r="J39">
        <v>2</v>
      </c>
      <c r="K39">
        <f t="shared" si="4"/>
        <v>0.4</v>
      </c>
    </row>
    <row r="40" spans="1:11" x14ac:dyDescent="0.25">
      <c r="B40">
        <v>7</v>
      </c>
      <c r="C40">
        <f t="shared" si="0"/>
        <v>0.35</v>
      </c>
      <c r="D40">
        <v>3</v>
      </c>
      <c r="E40">
        <f t="shared" si="1"/>
        <v>0.3</v>
      </c>
      <c r="F40">
        <v>2</v>
      </c>
      <c r="G40">
        <f t="shared" si="2"/>
        <v>0.2</v>
      </c>
      <c r="H40">
        <v>1</v>
      </c>
      <c r="I40">
        <f t="shared" si="3"/>
        <v>0.2</v>
      </c>
      <c r="J40">
        <v>2</v>
      </c>
      <c r="K40">
        <f t="shared" si="4"/>
        <v>0.4</v>
      </c>
    </row>
    <row r="41" spans="1:11" x14ac:dyDescent="0.25">
      <c r="B41">
        <v>6</v>
      </c>
      <c r="C41">
        <f t="shared" si="0"/>
        <v>0.3</v>
      </c>
      <c r="D41">
        <v>1</v>
      </c>
      <c r="E41">
        <f t="shared" si="1"/>
        <v>0.1</v>
      </c>
      <c r="F41">
        <v>1</v>
      </c>
      <c r="G41">
        <f>F41/10</f>
        <v>0.1</v>
      </c>
      <c r="H41">
        <v>0</v>
      </c>
      <c r="I41">
        <f t="shared" si="3"/>
        <v>0</v>
      </c>
      <c r="J41">
        <v>1</v>
      </c>
      <c r="K41">
        <f t="shared" si="4"/>
        <v>0.2</v>
      </c>
    </row>
    <row r="42" spans="1:11" x14ac:dyDescent="0.25">
      <c r="A42" t="s">
        <v>33</v>
      </c>
      <c r="B42">
        <f t="shared" ref="B42:K42" si="8">AVERAGE(B2:B41)</f>
        <v>9.8000000000000007</v>
      </c>
      <c r="C42">
        <f t="shared" si="8"/>
        <v>0.48999999999999994</v>
      </c>
      <c r="D42">
        <f t="shared" si="8"/>
        <v>5.55</v>
      </c>
      <c r="E42">
        <f t="shared" si="8"/>
        <v>0.55499999999999994</v>
      </c>
      <c r="F42">
        <f t="shared" si="8"/>
        <v>4.25</v>
      </c>
      <c r="G42">
        <f t="shared" si="8"/>
        <v>0.4250000000000001</v>
      </c>
      <c r="H42">
        <f t="shared" si="8"/>
        <v>2.625</v>
      </c>
      <c r="I42">
        <f t="shared" si="8"/>
        <v>0.52499999999999947</v>
      </c>
      <c r="J42">
        <f t="shared" si="8"/>
        <v>3.125</v>
      </c>
      <c r="K42">
        <f t="shared" si="8"/>
        <v>0.62499999999999989</v>
      </c>
    </row>
    <row r="43" spans="1:11" x14ac:dyDescent="0.25">
      <c r="A43" t="s">
        <v>38</v>
      </c>
      <c r="B43">
        <f>STDEV(B2:B41)</f>
        <v>1.8144717391868341</v>
      </c>
      <c r="C43">
        <f>STDEV(C2:C41)</f>
        <v>9.0723586959342642E-2</v>
      </c>
      <c r="D43">
        <v>55.5</v>
      </c>
      <c r="E43">
        <f>STDEV(E2:E41)</f>
        <v>0.17238894604338381</v>
      </c>
      <c r="G43">
        <f>STDEV(G2:G41)</f>
        <v>0.16447273953844696</v>
      </c>
      <c r="H43">
        <f>STDEV(H2:H41)</f>
        <v>1.125178048588596</v>
      </c>
      <c r="I43">
        <f>STDEV(I2:I41)</f>
        <v>0.22503560971772041</v>
      </c>
      <c r="J43">
        <f>STDEV(J2:J41)</f>
        <v>0.91111371690267351</v>
      </c>
      <c r="K43">
        <f>STDEV(K2:K41)</f>
        <v>0.18222274338053471</v>
      </c>
    </row>
    <row r="44" spans="1:11" ht="15" customHeight="1" x14ac:dyDescent="0.25">
      <c r="A44" t="s">
        <v>47</v>
      </c>
      <c r="B44">
        <f>SUM(B2:B41)</f>
        <v>392</v>
      </c>
      <c r="D44">
        <f>SUM(D2:D41)</f>
        <v>222</v>
      </c>
      <c r="F44">
        <f>SUM(F2:F41)</f>
        <v>170</v>
      </c>
    </row>
    <row r="45" spans="1:11" x14ac:dyDescent="0.25">
      <c r="F45" s="45" t="s">
        <v>189</v>
      </c>
    </row>
    <row r="46" spans="1:11" x14ac:dyDescent="0.25">
      <c r="A46" t="s">
        <v>11</v>
      </c>
      <c r="C46">
        <v>40</v>
      </c>
      <c r="E46">
        <v>40</v>
      </c>
      <c r="G46">
        <v>40</v>
      </c>
      <c r="I46">
        <v>40</v>
      </c>
      <c r="K46">
        <v>40</v>
      </c>
    </row>
    <row r="47" spans="1:11" x14ac:dyDescent="0.25">
      <c r="A47" t="s">
        <v>7</v>
      </c>
      <c r="C47">
        <v>0.5</v>
      </c>
      <c r="E47">
        <v>0.5</v>
      </c>
      <c r="G47">
        <v>0.5</v>
      </c>
      <c r="I47">
        <v>0.5</v>
      </c>
      <c r="K47">
        <v>0.5</v>
      </c>
    </row>
    <row r="48" spans="1:11" x14ac:dyDescent="0.25">
      <c r="A48" t="s">
        <v>6</v>
      </c>
      <c r="C48">
        <v>0.05</v>
      </c>
      <c r="E48">
        <v>0.05</v>
      </c>
      <c r="G48">
        <v>0.05</v>
      </c>
      <c r="I48">
        <v>0.05</v>
      </c>
      <c r="K48">
        <v>0.05</v>
      </c>
    </row>
    <row r="49" spans="1:11" x14ac:dyDescent="0.25">
      <c r="A49" t="s">
        <v>5</v>
      </c>
      <c r="C49">
        <v>1</v>
      </c>
      <c r="E49">
        <v>1</v>
      </c>
      <c r="G49">
        <v>1</v>
      </c>
      <c r="I49">
        <v>1</v>
      </c>
      <c r="K49">
        <v>1</v>
      </c>
    </row>
    <row r="50" spans="1:11" x14ac:dyDescent="0.25">
      <c r="A50" t="s">
        <v>4</v>
      </c>
      <c r="C50">
        <f>C46-1</f>
        <v>39</v>
      </c>
      <c r="E50">
        <f>E46-1</f>
        <v>39</v>
      </c>
      <c r="G50">
        <f>G46-1</f>
        <v>39</v>
      </c>
      <c r="I50">
        <f>I46-1</f>
        <v>39</v>
      </c>
      <c r="K50">
        <f>K46-1</f>
        <v>39</v>
      </c>
    </row>
    <row r="51" spans="1:11" x14ac:dyDescent="0.25">
      <c r="A51" t="s">
        <v>8</v>
      </c>
      <c r="C51">
        <f>C43/SQRT(C46)</f>
        <v>1.4344658614593626E-2</v>
      </c>
      <c r="E51">
        <f>E43/SQRT(E46)</f>
        <v>2.7257085646648235E-2</v>
      </c>
      <c r="G51">
        <f>G43/SQRT(G46)</f>
        <v>2.6005423497456166E-2</v>
      </c>
      <c r="I51">
        <f>I43/SQRT(I46)</f>
        <v>3.5581254067635876E-2</v>
      </c>
      <c r="K51">
        <f>K43/SQRT(K46)</f>
        <v>2.8811945528343014E-2</v>
      </c>
    </row>
    <row r="52" spans="1:11" x14ac:dyDescent="0.25">
      <c r="A52" t="s">
        <v>39</v>
      </c>
      <c r="C52">
        <f>(C42-C47)/C51</f>
        <v>-0.69712359622323139</v>
      </c>
      <c r="E52">
        <f>(E42-E47)/E51</f>
        <v>2.0178239417449682</v>
      </c>
      <c r="G52">
        <f>(G42-G47)/G51</f>
        <v>-2.88401379071317</v>
      </c>
      <c r="I52">
        <f>(I42-I47)/I51</f>
        <v>0.70261716893050874</v>
      </c>
      <c r="K52">
        <f>(K42-K47)/K51</f>
        <v>4.3384782841906437</v>
      </c>
    </row>
    <row r="53" spans="1:11" x14ac:dyDescent="0.25">
      <c r="A53" t="s">
        <v>40</v>
      </c>
      <c r="C53">
        <f>TDIST(ABS(C52),C50,C49)</f>
        <v>0.24493020698990164</v>
      </c>
      <c r="E53">
        <f>TDIST(ABS(E52),E50,E49)</f>
        <v>2.526355722460551E-2</v>
      </c>
      <c r="G53">
        <f>TDIST(ABS(G52),G50,G49)</f>
        <v>3.1806871668275797E-3</v>
      </c>
      <c r="I53">
        <f>TDIST(ABS(I52),I50,I49)</f>
        <v>0.2432336423191907</v>
      </c>
      <c r="K53">
        <f>TDIST(ABS(K52),K50,K49)</f>
        <v>4.9136848456413714E-5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opLeftCell="D1" workbookViewId="0">
      <selection activeCell="F20" sqref="F20:F30"/>
    </sheetView>
  </sheetViews>
  <sheetFormatPr defaultRowHeight="15" x14ac:dyDescent="0.25"/>
  <cols>
    <col min="1" max="1" width="7" customWidth="1"/>
    <col min="2" max="23" width="9.7109375" customWidth="1"/>
    <col min="24" max="25" width="11.7109375" customWidth="1"/>
    <col min="30" max="31" width="9.5703125" bestFit="1" customWidth="1"/>
  </cols>
  <sheetData>
    <row r="1" spans="1:31" s="10" customFormat="1" x14ac:dyDescent="0.25">
      <c r="A1" s="10" t="s">
        <v>128</v>
      </c>
    </row>
    <row r="2" spans="1:31" s="10" customFormat="1" x14ac:dyDescent="0.25">
      <c r="A2" s="30"/>
      <c r="B2" s="114" t="s">
        <v>120</v>
      </c>
      <c r="C2" s="114"/>
      <c r="D2" s="114"/>
      <c r="E2" s="114"/>
      <c r="F2" s="114"/>
      <c r="G2" s="114"/>
      <c r="H2" s="114"/>
      <c r="I2" s="114"/>
      <c r="J2" s="114"/>
      <c r="K2" s="114"/>
      <c r="L2" s="114" t="s">
        <v>121</v>
      </c>
      <c r="M2" s="114"/>
      <c r="N2" s="114"/>
      <c r="O2" s="114"/>
      <c r="P2" s="114"/>
      <c r="Q2" s="114"/>
      <c r="R2" s="114"/>
      <c r="S2" s="114"/>
      <c r="T2" s="114"/>
      <c r="U2" s="114"/>
    </row>
    <row r="3" spans="1:31" s="10" customFormat="1" x14ac:dyDescent="0.25">
      <c r="B3" s="10" t="s">
        <v>119</v>
      </c>
      <c r="I3" s="10" t="s">
        <v>122</v>
      </c>
      <c r="J3" s="10" t="s">
        <v>87</v>
      </c>
      <c r="K3" s="10" t="s">
        <v>123</v>
      </c>
      <c r="L3" s="10" t="s">
        <v>119</v>
      </c>
      <c r="T3" s="10" t="s">
        <v>87</v>
      </c>
      <c r="U3" s="10" t="s">
        <v>123</v>
      </c>
      <c r="V3" s="10" t="s">
        <v>47</v>
      </c>
      <c r="AC3" s="10" t="s">
        <v>108</v>
      </c>
    </row>
    <row r="4" spans="1:31" s="10" customFormat="1" ht="15.75" thickBot="1" x14ac:dyDescent="0.3">
      <c r="A4" s="10" t="s">
        <v>71</v>
      </c>
      <c r="B4" s="10">
        <v>7.2240000000000002</v>
      </c>
      <c r="C4" s="10">
        <v>4</v>
      </c>
      <c r="D4" s="10">
        <v>3</v>
      </c>
      <c r="E4" s="10">
        <v>2</v>
      </c>
      <c r="F4" s="10">
        <v>2</v>
      </c>
      <c r="G4" s="10">
        <v>2</v>
      </c>
      <c r="H4" s="10">
        <v>2</v>
      </c>
      <c r="I4" s="10">
        <f t="shared" ref="I4:I14" si="0">SQRT(6)*AVERAGE(C4:H4)/(_xlfn.STDEV.S(C4:H4))</f>
        <v>7.3192505471139988</v>
      </c>
      <c r="J4" s="10">
        <v>6</v>
      </c>
      <c r="K4" s="10">
        <f>(I4-B4)/B4</f>
        <v>1.3185291682447205E-2</v>
      </c>
      <c r="L4" s="10" t="s">
        <v>67</v>
      </c>
      <c r="M4" s="10">
        <v>1</v>
      </c>
      <c r="N4" s="10">
        <v>1</v>
      </c>
      <c r="O4" s="10">
        <v>1</v>
      </c>
      <c r="P4" s="10">
        <v>1</v>
      </c>
      <c r="Q4" s="10">
        <v>1</v>
      </c>
      <c r="R4" s="10">
        <v>1</v>
      </c>
      <c r="T4" s="10">
        <v>6</v>
      </c>
      <c r="U4" s="10">
        <v>0</v>
      </c>
      <c r="V4" s="10">
        <f t="shared" ref="V4:V14" si="1">(J4+T4)/12</f>
        <v>1</v>
      </c>
    </row>
    <row r="5" spans="1:31" s="10" customFormat="1" x14ac:dyDescent="0.25">
      <c r="A5" s="10" t="s">
        <v>72</v>
      </c>
      <c r="B5" s="10">
        <v>11.557</v>
      </c>
      <c r="C5" s="10">
        <v>4</v>
      </c>
      <c r="D5" s="10">
        <v>3</v>
      </c>
      <c r="E5" s="10">
        <v>3</v>
      </c>
      <c r="F5" s="10">
        <v>3</v>
      </c>
      <c r="G5" s="10">
        <v>3</v>
      </c>
      <c r="H5" s="10">
        <v>2</v>
      </c>
      <c r="I5" s="10">
        <f t="shared" si="0"/>
        <v>11.61895003862225</v>
      </c>
      <c r="J5" s="10">
        <v>6</v>
      </c>
      <c r="K5" s="10">
        <f>(I5-B5)/B5</f>
        <v>5.3603909857445524E-3</v>
      </c>
      <c r="L5" s="10">
        <v>-0.28100000000000003</v>
      </c>
      <c r="M5" s="10">
        <v>4</v>
      </c>
      <c r="N5" s="10">
        <v>1</v>
      </c>
      <c r="O5" s="10">
        <v>1</v>
      </c>
      <c r="P5" s="10">
        <v>-2</v>
      </c>
      <c r="Q5" s="10">
        <v>-2</v>
      </c>
      <c r="R5" s="10">
        <v>-4</v>
      </c>
      <c r="S5" s="10">
        <f>SQRT(6)*AVERAGE(M5:R5)/(_xlfn.STDEV.S(M5:R5))</f>
        <v>-0.28398091712353235</v>
      </c>
      <c r="T5" s="10">
        <v>3</v>
      </c>
      <c r="U5" s="10">
        <f>(S5-L5)/L5</f>
        <v>1.060824599121823E-2</v>
      </c>
      <c r="V5" s="10">
        <f t="shared" si="1"/>
        <v>0.75</v>
      </c>
      <c r="AC5" s="12"/>
      <c r="AD5" s="12" t="s">
        <v>109</v>
      </c>
      <c r="AE5" s="12" t="s">
        <v>110</v>
      </c>
    </row>
    <row r="6" spans="1:31" s="10" customFormat="1" x14ac:dyDescent="0.25">
      <c r="A6" s="10" t="s">
        <v>73</v>
      </c>
      <c r="B6" s="10">
        <v>-0.49399999999999999</v>
      </c>
      <c r="C6" s="10">
        <v>4</v>
      </c>
      <c r="D6" s="10">
        <v>3</v>
      </c>
      <c r="E6" s="10">
        <v>-2</v>
      </c>
      <c r="F6" s="10">
        <v>-2</v>
      </c>
      <c r="G6" s="10">
        <v>-3</v>
      </c>
      <c r="H6" s="10">
        <v>-4</v>
      </c>
      <c r="I6" s="10">
        <f t="shared" si="0"/>
        <v>-0.49088069367381587</v>
      </c>
      <c r="J6" s="10">
        <v>2</v>
      </c>
      <c r="K6" s="10">
        <f>(I6-B6)/B6</f>
        <v>-6.3143852756763633E-3</v>
      </c>
      <c r="L6" s="10">
        <v>0</v>
      </c>
      <c r="M6" s="10">
        <v>1</v>
      </c>
      <c r="N6" s="10">
        <v>1</v>
      </c>
      <c r="O6" s="10">
        <v>1</v>
      </c>
      <c r="P6" s="10">
        <v>-1</v>
      </c>
      <c r="Q6" s="10">
        <v>-1</v>
      </c>
      <c r="R6" s="10">
        <v>-1</v>
      </c>
      <c r="S6" s="10">
        <v>0</v>
      </c>
      <c r="T6" s="10">
        <v>3</v>
      </c>
      <c r="U6" s="10">
        <v>0</v>
      </c>
      <c r="V6" s="10">
        <f t="shared" si="1"/>
        <v>0.41666666666666669</v>
      </c>
      <c r="AC6" s="31" t="s">
        <v>26</v>
      </c>
      <c r="AD6" s="31">
        <v>1.1666666666666667</v>
      </c>
      <c r="AE6" s="31">
        <v>0</v>
      </c>
    </row>
    <row r="7" spans="1:31" s="10" customFormat="1" x14ac:dyDescent="0.25">
      <c r="A7" s="10" t="s">
        <v>100</v>
      </c>
      <c r="B7" s="10">
        <v>0.72099999999999997</v>
      </c>
      <c r="C7" s="10">
        <v>3</v>
      </c>
      <c r="D7" s="10">
        <v>2</v>
      </c>
      <c r="E7" s="10">
        <v>2</v>
      </c>
      <c r="F7" s="10">
        <v>1</v>
      </c>
      <c r="G7" s="10">
        <v>-1</v>
      </c>
      <c r="H7" s="10">
        <v>-3</v>
      </c>
      <c r="I7" s="10">
        <f t="shared" si="0"/>
        <v>0.72547625011001149</v>
      </c>
      <c r="J7" s="10">
        <v>4</v>
      </c>
      <c r="K7" s="10">
        <f>(I7-B7)/B7</f>
        <v>6.2083912760215187E-3</v>
      </c>
      <c r="L7" s="10">
        <v>0.68</v>
      </c>
      <c r="M7" s="10">
        <v>3</v>
      </c>
      <c r="N7" s="10">
        <v>3</v>
      </c>
      <c r="O7" s="10">
        <v>3</v>
      </c>
      <c r="P7" s="10">
        <v>2</v>
      </c>
      <c r="Q7" s="10">
        <v>-3</v>
      </c>
      <c r="R7" s="10">
        <v>-3</v>
      </c>
      <c r="S7" s="10">
        <f t="shared" ref="S7:S14" si="2">SQRT(6)*AVERAGE(M7:R7)/(_xlfn.STDEV.S(M7:R7))</f>
        <v>0.68167735393651485</v>
      </c>
      <c r="T7" s="10">
        <v>4</v>
      </c>
      <c r="U7" s="10">
        <f>(S7-L7)/L7</f>
        <v>2.4666969654629448E-3</v>
      </c>
      <c r="V7" s="10">
        <f t="shared" si="1"/>
        <v>0.66666666666666663</v>
      </c>
      <c r="AC7" s="31" t="s">
        <v>111</v>
      </c>
      <c r="AD7" s="31">
        <v>2.166666666666667</v>
      </c>
      <c r="AE7" s="31">
        <v>0</v>
      </c>
    </row>
    <row r="8" spans="1:31" s="10" customFormat="1" x14ac:dyDescent="0.25">
      <c r="A8" s="10" t="s">
        <v>101</v>
      </c>
      <c r="B8" s="10">
        <v>0</v>
      </c>
      <c r="C8" s="10">
        <v>1</v>
      </c>
      <c r="D8" s="10">
        <v>1</v>
      </c>
      <c r="E8" s="10">
        <v>1</v>
      </c>
      <c r="F8" s="10">
        <v>-1</v>
      </c>
      <c r="G8" s="10">
        <v>-1</v>
      </c>
      <c r="H8" s="10">
        <v>-1</v>
      </c>
      <c r="I8" s="10">
        <f t="shared" si="0"/>
        <v>0</v>
      </c>
      <c r="J8" s="10">
        <v>3</v>
      </c>
      <c r="K8" s="10">
        <v>0</v>
      </c>
      <c r="L8" s="10">
        <v>0.72099999999999997</v>
      </c>
      <c r="M8" s="10">
        <v>3</v>
      </c>
      <c r="N8" s="10">
        <v>3</v>
      </c>
      <c r="O8" s="10">
        <v>2</v>
      </c>
      <c r="P8" s="10">
        <v>-1</v>
      </c>
      <c r="Q8" s="10">
        <v>-1</v>
      </c>
      <c r="R8" s="10">
        <v>-2</v>
      </c>
      <c r="S8" s="10">
        <f t="shared" si="2"/>
        <v>0.72547625011001149</v>
      </c>
      <c r="T8" s="10">
        <v>3</v>
      </c>
      <c r="U8" s="10">
        <f>(S8-L8)/L8</f>
        <v>6.2083912760215187E-3</v>
      </c>
      <c r="V8" s="10">
        <f t="shared" si="1"/>
        <v>0.5</v>
      </c>
      <c r="AC8" s="31" t="s">
        <v>112</v>
      </c>
      <c r="AD8" s="31">
        <v>6</v>
      </c>
      <c r="AE8" s="31">
        <v>6</v>
      </c>
    </row>
    <row r="9" spans="1:31" s="10" customFormat="1" x14ac:dyDescent="0.25">
      <c r="A9" s="10" t="s">
        <v>102</v>
      </c>
      <c r="B9" s="10">
        <v>1.895</v>
      </c>
      <c r="C9" s="10">
        <v>4</v>
      </c>
      <c r="D9" s="10">
        <v>3</v>
      </c>
      <c r="E9" s="10">
        <v>3</v>
      </c>
      <c r="F9" s="10">
        <v>1</v>
      </c>
      <c r="G9" s="10">
        <v>1</v>
      </c>
      <c r="H9" s="10">
        <v>-2</v>
      </c>
      <c r="I9" s="10">
        <f t="shared" si="0"/>
        <v>1.8898223650461365</v>
      </c>
      <c r="J9" s="10">
        <v>5</v>
      </c>
      <c r="K9" s="10">
        <f t="shared" ref="K9:K14" si="3">(I9-B9)/B9</f>
        <v>-2.7322611893738653E-3</v>
      </c>
      <c r="L9" s="10">
        <v>-0.72099999999999997</v>
      </c>
      <c r="M9" s="10">
        <v>3</v>
      </c>
      <c r="N9" s="10">
        <v>1</v>
      </c>
      <c r="O9" s="10">
        <v>-3</v>
      </c>
      <c r="P9" s="10">
        <v>-2</v>
      </c>
      <c r="Q9" s="10">
        <v>-2</v>
      </c>
      <c r="R9" s="10">
        <v>-1</v>
      </c>
      <c r="S9" s="10">
        <f t="shared" si="2"/>
        <v>-0.72547625011001149</v>
      </c>
      <c r="T9" s="10">
        <v>2</v>
      </c>
      <c r="U9" s="10">
        <f>(S9-L9)/L9</f>
        <v>6.2083912760215187E-3</v>
      </c>
      <c r="V9" s="10">
        <f t="shared" si="1"/>
        <v>0.58333333333333337</v>
      </c>
      <c r="AC9" s="31" t="s">
        <v>113</v>
      </c>
      <c r="AD9" s="31" t="e">
        <v>#DIV/0!</v>
      </c>
      <c r="AE9" s="31"/>
    </row>
    <row r="10" spans="1:31" s="10" customFormat="1" x14ac:dyDescent="0.25">
      <c r="A10" s="10" t="s">
        <v>103</v>
      </c>
      <c r="B10" s="10">
        <v>-1.8280000000000001</v>
      </c>
      <c r="C10" s="10">
        <v>3</v>
      </c>
      <c r="D10" s="10">
        <v>-1</v>
      </c>
      <c r="E10" s="10">
        <v>-3</v>
      </c>
      <c r="F10" s="10">
        <v>-3</v>
      </c>
      <c r="G10" s="10">
        <v>-4</v>
      </c>
      <c r="H10" s="10">
        <v>-4</v>
      </c>
      <c r="I10" s="10">
        <f t="shared" si="0"/>
        <v>-1.8257418583505536</v>
      </c>
      <c r="J10" s="10">
        <v>1</v>
      </c>
      <c r="K10" s="10">
        <f t="shared" si="3"/>
        <v>-1.2353072480560654E-3</v>
      </c>
      <c r="L10" s="10">
        <v>0</v>
      </c>
      <c r="M10" s="10">
        <v>1</v>
      </c>
      <c r="N10" s="10">
        <v>1</v>
      </c>
      <c r="O10" s="10">
        <v>1</v>
      </c>
      <c r="P10" s="10">
        <v>-1</v>
      </c>
      <c r="Q10" s="10">
        <v>-1</v>
      </c>
      <c r="R10" s="10">
        <v>-1</v>
      </c>
      <c r="S10" s="10">
        <f t="shared" si="2"/>
        <v>0</v>
      </c>
      <c r="T10" s="10">
        <v>3</v>
      </c>
      <c r="U10" s="10">
        <v>0</v>
      </c>
      <c r="V10" s="10">
        <f t="shared" si="1"/>
        <v>0.33333333333333331</v>
      </c>
      <c r="AC10" s="31" t="s">
        <v>114</v>
      </c>
      <c r="AD10" s="31">
        <v>0</v>
      </c>
      <c r="AE10" s="31"/>
    </row>
    <row r="11" spans="1:31" s="10" customFormat="1" x14ac:dyDescent="0.25">
      <c r="A11" s="10" t="s">
        <v>104</v>
      </c>
      <c r="B11" s="10">
        <v>1.895</v>
      </c>
      <c r="C11" s="10">
        <v>4</v>
      </c>
      <c r="D11" s="10">
        <v>3</v>
      </c>
      <c r="E11" s="10">
        <v>3</v>
      </c>
      <c r="F11" s="10">
        <v>2</v>
      </c>
      <c r="G11" s="10">
        <v>-1</v>
      </c>
      <c r="H11" s="10">
        <v>-1</v>
      </c>
      <c r="I11" s="10">
        <f t="shared" si="0"/>
        <v>1.8898223650461365</v>
      </c>
      <c r="J11" s="10">
        <v>4</v>
      </c>
      <c r="K11" s="10">
        <f t="shared" si="3"/>
        <v>-2.7322611893738653E-3</v>
      </c>
      <c r="L11" s="10">
        <v>-1.0920000000000001</v>
      </c>
      <c r="M11" s="10">
        <v>1</v>
      </c>
      <c r="N11" s="10">
        <v>1</v>
      </c>
      <c r="O11" s="10">
        <v>-1</v>
      </c>
      <c r="P11" s="10">
        <v>-1</v>
      </c>
      <c r="Q11" s="10">
        <v>-1</v>
      </c>
      <c r="R11" s="10">
        <v>-3</v>
      </c>
      <c r="S11" s="10">
        <f t="shared" si="2"/>
        <v>-1.0846522890932806</v>
      </c>
      <c r="T11" s="10">
        <v>2</v>
      </c>
      <c r="U11" s="10">
        <f>(S11-L11)/L11</f>
        <v>-6.7286729915013591E-3</v>
      </c>
      <c r="V11" s="10">
        <f t="shared" si="1"/>
        <v>0.5</v>
      </c>
      <c r="AC11" s="31" t="s">
        <v>4</v>
      </c>
      <c r="AD11" s="31">
        <v>5</v>
      </c>
      <c r="AE11" s="31"/>
    </row>
    <row r="12" spans="1:31" s="10" customFormat="1" x14ac:dyDescent="0.25">
      <c r="A12" s="10" t="s">
        <v>105</v>
      </c>
      <c r="B12" s="10">
        <v>0.68</v>
      </c>
      <c r="C12" s="10">
        <v>3</v>
      </c>
      <c r="D12" s="10">
        <v>3</v>
      </c>
      <c r="E12" s="10">
        <v>3</v>
      </c>
      <c r="F12" s="10">
        <v>2</v>
      </c>
      <c r="G12" s="10">
        <v>-3</v>
      </c>
      <c r="H12" s="10">
        <v>-3</v>
      </c>
      <c r="I12" s="10">
        <f t="shared" si="0"/>
        <v>0.68167735393651485</v>
      </c>
      <c r="J12" s="10">
        <v>4</v>
      </c>
      <c r="K12" s="10">
        <f t="shared" si="3"/>
        <v>2.4666969654629448E-3</v>
      </c>
      <c r="L12" s="10">
        <v>0.72099999999999997</v>
      </c>
      <c r="M12" s="10">
        <v>3</v>
      </c>
      <c r="N12" s="10">
        <v>2</v>
      </c>
      <c r="O12" s="10">
        <v>2</v>
      </c>
      <c r="P12" s="10">
        <v>1</v>
      </c>
      <c r="Q12" s="10">
        <v>-1</v>
      </c>
      <c r="R12" s="10">
        <v>-3</v>
      </c>
      <c r="S12" s="10">
        <f t="shared" si="2"/>
        <v>0.72547625011001149</v>
      </c>
      <c r="T12" s="10">
        <v>4</v>
      </c>
      <c r="U12" s="10">
        <f>(S12-L12)/L12</f>
        <v>6.2083912760215187E-3</v>
      </c>
      <c r="V12" s="10">
        <f t="shared" si="1"/>
        <v>0.66666666666666663</v>
      </c>
      <c r="AC12" s="31" t="s">
        <v>115</v>
      </c>
      <c r="AD12" s="31">
        <v>1.9414506867883021</v>
      </c>
      <c r="AE12" s="31"/>
    </row>
    <row r="13" spans="1:31" s="10" customFormat="1" x14ac:dyDescent="0.25">
      <c r="A13" s="10" t="s">
        <v>106</v>
      </c>
      <c r="B13" s="10">
        <v>7.2240000000000002</v>
      </c>
      <c r="C13" s="10">
        <v>3</v>
      </c>
      <c r="D13" s="10">
        <v>2</v>
      </c>
      <c r="E13" s="10">
        <v>4</v>
      </c>
      <c r="F13" s="10">
        <v>2</v>
      </c>
      <c r="G13" s="10">
        <v>2</v>
      </c>
      <c r="H13" s="10">
        <v>2</v>
      </c>
      <c r="I13" s="10">
        <f t="shared" si="0"/>
        <v>7.3192505471139988</v>
      </c>
      <c r="J13" s="10">
        <v>6</v>
      </c>
      <c r="K13" s="10">
        <f t="shared" si="3"/>
        <v>1.3185291682447205E-2</v>
      </c>
      <c r="L13" s="10">
        <v>6.1210000000000004</v>
      </c>
      <c r="M13" s="10">
        <v>3</v>
      </c>
      <c r="N13" s="10">
        <v>2</v>
      </c>
      <c r="O13" s="10">
        <v>2</v>
      </c>
      <c r="P13" s="10">
        <v>2</v>
      </c>
      <c r="Q13" s="10">
        <v>1</v>
      </c>
      <c r="R13" s="10">
        <v>1</v>
      </c>
      <c r="S13" s="10">
        <f t="shared" si="2"/>
        <v>5.9655875900130448</v>
      </c>
      <c r="T13" s="10">
        <v>6</v>
      </c>
      <c r="U13" s="10">
        <f>(S13-L13)/L13</f>
        <v>-2.5390035939708476E-2</v>
      </c>
      <c r="V13" s="10">
        <f t="shared" si="1"/>
        <v>1</v>
      </c>
      <c r="AC13" s="31" t="s">
        <v>116</v>
      </c>
      <c r="AD13" s="31">
        <v>5.4933250517113202E-2</v>
      </c>
      <c r="AE13" s="31"/>
    </row>
    <row r="14" spans="1:31" s="10" customFormat="1" x14ac:dyDescent="0.25">
      <c r="A14" s="10" t="s">
        <v>107</v>
      </c>
      <c r="B14" s="10">
        <v>0.72199999999999998</v>
      </c>
      <c r="C14" s="10">
        <v>3</v>
      </c>
      <c r="D14" s="10">
        <v>2</v>
      </c>
      <c r="E14" s="10">
        <v>2</v>
      </c>
      <c r="F14" s="10">
        <v>1</v>
      </c>
      <c r="G14" s="10">
        <v>-1</v>
      </c>
      <c r="H14" s="10">
        <v>-3</v>
      </c>
      <c r="I14" s="10">
        <f t="shared" si="0"/>
        <v>0.72547625011001149</v>
      </c>
      <c r="J14" s="10">
        <v>4</v>
      </c>
      <c r="K14" s="10">
        <f t="shared" si="3"/>
        <v>4.8147508448912937E-3</v>
      </c>
      <c r="L14" s="10">
        <v>1.2649999999999999</v>
      </c>
      <c r="M14" s="10">
        <v>4</v>
      </c>
      <c r="N14" s="10">
        <v>4</v>
      </c>
      <c r="O14" s="10">
        <v>1</v>
      </c>
      <c r="P14" s="10">
        <v>1</v>
      </c>
      <c r="Q14" s="10">
        <v>1</v>
      </c>
      <c r="R14" s="10">
        <v>-3</v>
      </c>
      <c r="S14" s="10">
        <f t="shared" si="2"/>
        <v>1.2649110640673515</v>
      </c>
      <c r="T14" s="10">
        <v>5</v>
      </c>
      <c r="U14" s="10">
        <f>(S14-L14)/L14</f>
        <v>-7.0305085097517505E-5</v>
      </c>
      <c r="V14" s="10">
        <f t="shared" si="1"/>
        <v>0.75</v>
      </c>
      <c r="AC14" s="31" t="s">
        <v>117</v>
      </c>
      <c r="AD14" s="31">
        <v>2.0150483733330233</v>
      </c>
      <c r="AE14" s="31"/>
    </row>
    <row r="15" spans="1:31" s="10" customFormat="1" x14ac:dyDescent="0.25">
      <c r="J15" s="10">
        <f>SUM(J4:J14)</f>
        <v>45</v>
      </c>
      <c r="T15" s="10">
        <f>SUM(T4:T14)</f>
        <v>41</v>
      </c>
      <c r="V15" s="10">
        <f>AVERAGE(V4:V14)</f>
        <v>0.65151515151515149</v>
      </c>
      <c r="W15" s="10" t="s">
        <v>10</v>
      </c>
      <c r="AC15" s="31" t="s">
        <v>118</v>
      </c>
      <c r="AD15" s="31">
        <v>0.1098665010342264</v>
      </c>
      <c r="AE15" s="31"/>
    </row>
    <row r="16" spans="1:31" s="10" customFormat="1" ht="15.75" thickBot="1" x14ac:dyDescent="0.3">
      <c r="O16" s="32"/>
      <c r="P16" s="32"/>
      <c r="Q16" s="32"/>
      <c r="V16" s="10">
        <f>_xlfn.STDEV.S(V4:V14)</f>
        <v>0.21672493389016614</v>
      </c>
      <c r="W16" s="10" t="s">
        <v>9</v>
      </c>
    </row>
    <row r="17" spans="1:31" s="10" customFormat="1" x14ac:dyDescent="0.25">
      <c r="V17" s="10">
        <f>V16/SQRT(11)</f>
        <v>6.5345026220750932E-2</v>
      </c>
      <c r="W17" s="10" t="s">
        <v>8</v>
      </c>
      <c r="AC17" s="31"/>
      <c r="AD17" s="31"/>
      <c r="AE17" s="31"/>
    </row>
    <row r="18" spans="1:31" s="10" customFormat="1" x14ac:dyDescent="0.25">
      <c r="A18" s="1" t="s">
        <v>129</v>
      </c>
      <c r="B18" s="1"/>
      <c r="C18" s="1"/>
      <c r="D18" s="1"/>
      <c r="E18" s="1"/>
      <c r="F18" s="1"/>
      <c r="G18" s="1"/>
      <c r="V18" s="10">
        <f>AVERAGE(U4:U14,K4:K14)</f>
        <v>1.441713695589679E-3</v>
      </c>
      <c r="W18" s="10" t="s">
        <v>156</v>
      </c>
    </row>
    <row r="19" spans="1:31" s="33" customFormat="1" ht="30.95" customHeight="1" x14ac:dyDescent="0.25">
      <c r="A19" s="34"/>
      <c r="B19" s="34" t="s">
        <v>119</v>
      </c>
      <c r="C19" s="34" t="s">
        <v>87</v>
      </c>
      <c r="D19" s="34" t="s">
        <v>119</v>
      </c>
      <c r="E19" s="34" t="s">
        <v>87</v>
      </c>
      <c r="F19" s="34" t="s">
        <v>47</v>
      </c>
      <c r="G19" s="34"/>
      <c r="V19" s="33">
        <v>-2.5390035939708476E-2</v>
      </c>
      <c r="W19" s="33" t="s">
        <v>157</v>
      </c>
    </row>
    <row r="20" spans="1:31" s="10" customFormat="1" x14ac:dyDescent="0.25">
      <c r="A20" s="1" t="s">
        <v>71</v>
      </c>
      <c r="B20" s="1">
        <v>7.2240000000000002</v>
      </c>
      <c r="C20" s="1">
        <v>6</v>
      </c>
      <c r="D20" s="1" t="s">
        <v>67</v>
      </c>
      <c r="E20" s="1">
        <v>6</v>
      </c>
      <c r="F20" s="1">
        <f t="shared" ref="F20:F30" si="4">C20+E20</f>
        <v>12</v>
      </c>
      <c r="G20" s="1">
        <f t="shared" ref="G20:G30" si="5">F20/12</f>
        <v>1</v>
      </c>
    </row>
    <row r="21" spans="1:31" s="10" customFormat="1" x14ac:dyDescent="0.25">
      <c r="A21" s="1" t="s">
        <v>72</v>
      </c>
      <c r="B21" s="1">
        <v>11.557</v>
      </c>
      <c r="C21" s="1">
        <v>6</v>
      </c>
      <c r="D21" s="1">
        <v>-0.28100000000000003</v>
      </c>
      <c r="E21" s="1">
        <v>3</v>
      </c>
      <c r="F21" s="1">
        <f t="shared" si="4"/>
        <v>9</v>
      </c>
      <c r="G21" s="1">
        <f t="shared" si="5"/>
        <v>0.75</v>
      </c>
    </row>
    <row r="22" spans="1:31" s="10" customFormat="1" x14ac:dyDescent="0.25">
      <c r="A22" s="1" t="s">
        <v>73</v>
      </c>
      <c r="B22" s="1">
        <v>-0.49399999999999999</v>
      </c>
      <c r="C22" s="1">
        <v>2.5</v>
      </c>
      <c r="D22" s="1">
        <v>0</v>
      </c>
      <c r="E22" s="1">
        <v>3</v>
      </c>
      <c r="F22" s="1">
        <f t="shared" si="4"/>
        <v>5.5</v>
      </c>
      <c r="G22" s="1">
        <f t="shared" si="5"/>
        <v>0.45833333333333331</v>
      </c>
    </row>
    <row r="23" spans="1:31" s="10" customFormat="1" x14ac:dyDescent="0.25">
      <c r="A23" s="1" t="s">
        <v>100</v>
      </c>
      <c r="B23" s="1">
        <v>0.72099999999999997</v>
      </c>
      <c r="C23" s="1">
        <f>11/3</f>
        <v>3.6666666666666665</v>
      </c>
      <c r="D23" s="1">
        <v>0.68</v>
      </c>
      <c r="E23" s="1">
        <v>4</v>
      </c>
      <c r="F23" s="1">
        <f t="shared" si="4"/>
        <v>7.6666666666666661</v>
      </c>
      <c r="G23" s="1">
        <f t="shared" si="5"/>
        <v>0.63888888888888884</v>
      </c>
    </row>
    <row r="24" spans="1:31" s="10" customFormat="1" x14ac:dyDescent="0.25">
      <c r="A24" s="1" t="s">
        <v>101</v>
      </c>
      <c r="B24" s="1">
        <v>0</v>
      </c>
      <c r="C24" s="1">
        <v>3</v>
      </c>
      <c r="D24" s="1">
        <v>0.72099999999999997</v>
      </c>
      <c r="E24" s="1">
        <f>11/3</f>
        <v>3.6666666666666665</v>
      </c>
      <c r="F24" s="1">
        <f t="shared" si="4"/>
        <v>6.6666666666666661</v>
      </c>
      <c r="G24" s="1">
        <f t="shared" si="5"/>
        <v>0.55555555555555547</v>
      </c>
    </row>
    <row r="25" spans="1:31" s="10" customFormat="1" x14ac:dyDescent="0.25">
      <c r="A25" s="1" t="s">
        <v>102</v>
      </c>
      <c r="B25" s="1">
        <v>1.895</v>
      </c>
      <c r="C25" s="1">
        <v>4.5</v>
      </c>
      <c r="D25" s="1">
        <v>-0.72099999999999997</v>
      </c>
      <c r="E25" s="1">
        <f>7/3</f>
        <v>2.3333333333333335</v>
      </c>
      <c r="F25" s="1">
        <f t="shared" si="4"/>
        <v>6.8333333333333339</v>
      </c>
      <c r="G25" s="1">
        <f t="shared" si="5"/>
        <v>0.56944444444444453</v>
      </c>
    </row>
    <row r="26" spans="1:31" s="10" customFormat="1" x14ac:dyDescent="0.25">
      <c r="A26" s="1" t="s">
        <v>103</v>
      </c>
      <c r="B26" s="1">
        <v>-1.8280000000000001</v>
      </c>
      <c r="C26" s="1">
        <v>1</v>
      </c>
      <c r="D26" s="1">
        <v>0</v>
      </c>
      <c r="E26" s="1">
        <v>3</v>
      </c>
      <c r="F26" s="1">
        <f t="shared" si="4"/>
        <v>4</v>
      </c>
      <c r="G26" s="1">
        <f t="shared" si="5"/>
        <v>0.33333333333333331</v>
      </c>
    </row>
    <row r="27" spans="1:31" s="10" customFormat="1" x14ac:dyDescent="0.25">
      <c r="A27" s="1" t="s">
        <v>104</v>
      </c>
      <c r="B27" s="1">
        <v>1.895</v>
      </c>
      <c r="C27" s="1">
        <v>4.5</v>
      </c>
      <c r="D27" s="1">
        <v>-1.0920000000000001</v>
      </c>
      <c r="E27" s="1">
        <v>2</v>
      </c>
      <c r="F27" s="1">
        <f t="shared" si="4"/>
        <v>6.5</v>
      </c>
      <c r="G27" s="1">
        <f t="shared" si="5"/>
        <v>0.54166666666666663</v>
      </c>
    </row>
    <row r="28" spans="1:31" s="10" customFormat="1" x14ac:dyDescent="0.25">
      <c r="A28" s="1" t="s">
        <v>105</v>
      </c>
      <c r="B28" s="1">
        <v>0.68</v>
      </c>
      <c r="C28" s="1">
        <v>4</v>
      </c>
      <c r="D28" s="1">
        <v>0.72099999999999997</v>
      </c>
      <c r="E28" s="1">
        <f>11/3</f>
        <v>3.6666666666666665</v>
      </c>
      <c r="F28" s="1">
        <f t="shared" si="4"/>
        <v>7.6666666666666661</v>
      </c>
      <c r="G28" s="1">
        <f t="shared" si="5"/>
        <v>0.63888888888888884</v>
      </c>
    </row>
    <row r="29" spans="1:31" s="10" customFormat="1" x14ac:dyDescent="0.25">
      <c r="A29" s="1" t="s">
        <v>106</v>
      </c>
      <c r="B29" s="1">
        <v>7.2240000000000002</v>
      </c>
      <c r="C29" s="1">
        <v>6</v>
      </c>
      <c r="D29" s="1">
        <v>6.1210000000000004</v>
      </c>
      <c r="E29" s="1">
        <v>6</v>
      </c>
      <c r="F29" s="1">
        <f t="shared" si="4"/>
        <v>12</v>
      </c>
      <c r="G29" s="1">
        <f t="shared" si="5"/>
        <v>1</v>
      </c>
    </row>
    <row r="30" spans="1:31" s="10" customFormat="1" x14ac:dyDescent="0.25">
      <c r="A30" s="1" t="s">
        <v>107</v>
      </c>
      <c r="B30" s="1">
        <v>0.72199999999999998</v>
      </c>
      <c r="C30" s="1">
        <f>11/3</f>
        <v>3.6666666666666665</v>
      </c>
      <c r="D30" s="1">
        <v>1.2649999999999999</v>
      </c>
      <c r="E30" s="1">
        <v>4</v>
      </c>
      <c r="F30" s="1">
        <f t="shared" si="4"/>
        <v>7.6666666666666661</v>
      </c>
      <c r="G30" s="1">
        <f t="shared" si="5"/>
        <v>0.63888888888888884</v>
      </c>
    </row>
    <row r="31" spans="1:31" s="10" customFormat="1" x14ac:dyDescent="0.25">
      <c r="A31" s="1"/>
      <c r="B31" s="1" t="s">
        <v>47</v>
      </c>
      <c r="C31" s="1">
        <f>SUM(C20:C30)</f>
        <v>44.833333333333336</v>
      </c>
      <c r="D31" s="1" t="s">
        <v>47</v>
      </c>
      <c r="E31" s="1">
        <f>SUM(E20:E30)</f>
        <v>40.666666666666671</v>
      </c>
      <c r="F31" s="1" t="s">
        <v>10</v>
      </c>
      <c r="G31" s="1">
        <f>AVERAGE(G20:G30)</f>
        <v>0.64772727272727271</v>
      </c>
    </row>
    <row r="32" spans="1:31" s="10" customFormat="1" x14ac:dyDescent="0.25">
      <c r="A32" s="1"/>
      <c r="B32" s="1"/>
      <c r="C32" s="1"/>
      <c r="D32" s="1"/>
      <c r="E32" s="1"/>
      <c r="F32" s="1" t="s">
        <v>9</v>
      </c>
      <c r="G32" s="1">
        <f>_xlfn.STDEV.S(G20:G30)</f>
        <v>0.2048102787473898</v>
      </c>
    </row>
    <row r="33" spans="1:7" s="10" customFormat="1" x14ac:dyDescent="0.25">
      <c r="A33" s="1"/>
      <c r="B33" s="1"/>
      <c r="C33" s="1"/>
      <c r="D33" s="1"/>
      <c r="E33" s="1"/>
      <c r="F33" s="1" t="s">
        <v>8</v>
      </c>
      <c r="G33" s="1">
        <f>G32/SQRT(11)</f>
        <v>6.1752622528472065E-2</v>
      </c>
    </row>
    <row r="34" spans="1:7" s="10" customFormat="1" x14ac:dyDescent="0.25"/>
    <row r="35" spans="1:7" s="10" customFormat="1" x14ac:dyDescent="0.25">
      <c r="A35" s="10" t="s">
        <v>154</v>
      </c>
    </row>
    <row r="36" spans="1:7" s="10" customFormat="1" ht="30" x14ac:dyDescent="0.25">
      <c r="A36" s="33"/>
      <c r="B36" s="33" t="s">
        <v>119</v>
      </c>
      <c r="C36" s="33" t="s">
        <v>87</v>
      </c>
      <c r="D36" s="33" t="s">
        <v>119</v>
      </c>
      <c r="E36" s="33" t="s">
        <v>87</v>
      </c>
      <c r="F36" s="33" t="s">
        <v>47</v>
      </c>
      <c r="G36" s="33"/>
    </row>
    <row r="37" spans="1:7" s="10" customFormat="1" x14ac:dyDescent="0.25">
      <c r="A37" s="10" t="s">
        <v>71</v>
      </c>
      <c r="B37" s="10">
        <v>7.2240000000000002</v>
      </c>
      <c r="C37" s="10">
        <v>6</v>
      </c>
      <c r="D37" s="10" t="s">
        <v>67</v>
      </c>
      <c r="E37" s="10">
        <v>6</v>
      </c>
      <c r="F37" s="10">
        <f t="shared" ref="F37:F47" si="6">C37+E37</f>
        <v>12</v>
      </c>
      <c r="G37" s="10">
        <f t="shared" ref="G37:G47" si="7">F37/12</f>
        <v>1</v>
      </c>
    </row>
    <row r="38" spans="1:7" s="10" customFormat="1" x14ac:dyDescent="0.25">
      <c r="A38" s="10" t="s">
        <v>72</v>
      </c>
      <c r="B38" s="10">
        <v>11.557</v>
      </c>
      <c r="C38" s="10">
        <v>6</v>
      </c>
      <c r="D38" s="10">
        <v>-0.28100000000000003</v>
      </c>
      <c r="E38" s="10">
        <v>3</v>
      </c>
      <c r="F38" s="10">
        <f t="shared" si="6"/>
        <v>9</v>
      </c>
      <c r="G38" s="10">
        <f t="shared" si="7"/>
        <v>0.75</v>
      </c>
    </row>
    <row r="39" spans="1:7" s="10" customFormat="1" x14ac:dyDescent="0.25">
      <c r="A39" s="10" t="s">
        <v>73</v>
      </c>
      <c r="B39" s="10">
        <v>-0.49399999999999999</v>
      </c>
      <c r="C39" s="10">
        <v>2</v>
      </c>
      <c r="D39" s="10">
        <v>0</v>
      </c>
      <c r="E39" s="10">
        <v>3</v>
      </c>
      <c r="F39" s="10">
        <f t="shared" si="6"/>
        <v>5</v>
      </c>
      <c r="G39" s="10">
        <f t="shared" si="7"/>
        <v>0.41666666666666669</v>
      </c>
    </row>
    <row r="40" spans="1:7" s="10" customFormat="1" x14ac:dyDescent="0.25">
      <c r="A40" s="10" t="s">
        <v>100</v>
      </c>
      <c r="B40" s="10">
        <v>0.72099999999999997</v>
      </c>
      <c r="C40" s="10">
        <v>3</v>
      </c>
      <c r="D40" s="10">
        <v>0.68</v>
      </c>
      <c r="E40" s="10">
        <v>4</v>
      </c>
      <c r="F40" s="10">
        <f t="shared" si="6"/>
        <v>7</v>
      </c>
      <c r="G40" s="10">
        <f t="shared" si="7"/>
        <v>0.58333333333333337</v>
      </c>
    </row>
    <row r="41" spans="1:7" s="10" customFormat="1" x14ac:dyDescent="0.25">
      <c r="A41" s="10" t="s">
        <v>101</v>
      </c>
      <c r="B41" s="10">
        <v>0</v>
      </c>
      <c r="C41" s="10">
        <v>3</v>
      </c>
      <c r="D41" s="10">
        <v>0.72099999999999997</v>
      </c>
      <c r="E41" s="10">
        <v>3</v>
      </c>
      <c r="F41" s="10">
        <f t="shared" si="6"/>
        <v>6</v>
      </c>
      <c r="G41" s="10">
        <f t="shared" si="7"/>
        <v>0.5</v>
      </c>
    </row>
    <row r="42" spans="1:7" s="10" customFormat="1" x14ac:dyDescent="0.25">
      <c r="A42" s="10" t="s">
        <v>102</v>
      </c>
      <c r="B42" s="10">
        <v>1.895</v>
      </c>
      <c r="C42" s="10">
        <v>4</v>
      </c>
      <c r="D42" s="10">
        <v>-0.72099999999999997</v>
      </c>
      <c r="E42" s="10">
        <v>2</v>
      </c>
      <c r="F42" s="10">
        <f t="shared" si="6"/>
        <v>6</v>
      </c>
      <c r="G42" s="10">
        <f t="shared" si="7"/>
        <v>0.5</v>
      </c>
    </row>
    <row r="43" spans="1:7" s="10" customFormat="1" x14ac:dyDescent="0.25">
      <c r="A43" s="10" t="s">
        <v>103</v>
      </c>
      <c r="B43" s="10">
        <v>-1.8280000000000001</v>
      </c>
      <c r="C43" s="10">
        <v>1</v>
      </c>
      <c r="D43" s="10">
        <v>0</v>
      </c>
      <c r="E43" s="10">
        <v>3</v>
      </c>
      <c r="F43" s="10">
        <f t="shared" si="6"/>
        <v>4</v>
      </c>
      <c r="G43" s="10">
        <f t="shared" si="7"/>
        <v>0.33333333333333331</v>
      </c>
    </row>
    <row r="44" spans="1:7" s="10" customFormat="1" x14ac:dyDescent="0.25">
      <c r="A44" s="10" t="s">
        <v>104</v>
      </c>
      <c r="B44" s="10">
        <v>1.895</v>
      </c>
      <c r="C44" s="10">
        <v>4</v>
      </c>
      <c r="D44" s="10">
        <v>-1.0920000000000001</v>
      </c>
      <c r="E44" s="10">
        <v>2</v>
      </c>
      <c r="F44" s="10">
        <f t="shared" si="6"/>
        <v>6</v>
      </c>
      <c r="G44" s="10">
        <f t="shared" si="7"/>
        <v>0.5</v>
      </c>
    </row>
    <row r="45" spans="1:7" s="10" customFormat="1" x14ac:dyDescent="0.25">
      <c r="A45" s="10" t="s">
        <v>105</v>
      </c>
      <c r="B45" s="10">
        <v>0.68</v>
      </c>
      <c r="C45" s="10">
        <v>4</v>
      </c>
      <c r="D45" s="10">
        <v>0.72099999999999997</v>
      </c>
      <c r="E45" s="10">
        <v>3</v>
      </c>
      <c r="F45" s="10">
        <f t="shared" si="6"/>
        <v>7</v>
      </c>
      <c r="G45" s="10">
        <f t="shared" si="7"/>
        <v>0.58333333333333337</v>
      </c>
    </row>
    <row r="46" spans="1:7" s="10" customFormat="1" x14ac:dyDescent="0.25">
      <c r="A46" s="10" t="s">
        <v>106</v>
      </c>
      <c r="B46" s="10">
        <v>7.2240000000000002</v>
      </c>
      <c r="C46" s="10">
        <v>6</v>
      </c>
      <c r="D46" s="10">
        <v>6.1210000000000004</v>
      </c>
      <c r="E46" s="10">
        <v>6</v>
      </c>
      <c r="F46" s="10">
        <f t="shared" si="6"/>
        <v>12</v>
      </c>
      <c r="G46" s="10">
        <f t="shared" si="7"/>
        <v>1</v>
      </c>
    </row>
    <row r="47" spans="1:7" s="10" customFormat="1" x14ac:dyDescent="0.25">
      <c r="A47" s="10" t="s">
        <v>107</v>
      </c>
      <c r="B47" s="10">
        <v>0.72199999999999998</v>
      </c>
      <c r="C47" s="10">
        <v>3</v>
      </c>
      <c r="D47" s="10">
        <v>1.2649999999999999</v>
      </c>
      <c r="E47" s="10">
        <v>4</v>
      </c>
      <c r="F47" s="10">
        <f t="shared" si="6"/>
        <v>7</v>
      </c>
      <c r="G47" s="10">
        <f t="shared" si="7"/>
        <v>0.58333333333333337</v>
      </c>
    </row>
    <row r="48" spans="1:7" s="10" customFormat="1" x14ac:dyDescent="0.25">
      <c r="B48" s="10" t="s">
        <v>47</v>
      </c>
      <c r="C48" s="10">
        <f>SUM(C37:C47)</f>
        <v>42</v>
      </c>
      <c r="D48" s="10" t="s">
        <v>47</v>
      </c>
      <c r="E48" s="10">
        <f>SUM(E37:E47)</f>
        <v>39</v>
      </c>
      <c r="F48" s="10" t="s">
        <v>10</v>
      </c>
      <c r="G48" s="10">
        <f>AVERAGE(G37:G47)</f>
        <v>0.61363636363636354</v>
      </c>
    </row>
    <row r="49" spans="1:7" s="10" customFormat="1" x14ac:dyDescent="0.25">
      <c r="F49" s="10" t="s">
        <v>9</v>
      </c>
      <c r="G49" s="10">
        <f>_xlfn.STDEV.S(G37:G47)</f>
        <v>0.21817655717562831</v>
      </c>
    </row>
    <row r="50" spans="1:7" s="10" customFormat="1" x14ac:dyDescent="0.25">
      <c r="F50" s="10" t="s">
        <v>8</v>
      </c>
      <c r="G50" s="10">
        <f>G49/SQRT(11)</f>
        <v>6.5782707109371008E-2</v>
      </c>
    </row>
    <row r="51" spans="1:7" s="10" customFormat="1" x14ac:dyDescent="0.25"/>
    <row r="52" spans="1:7" s="10" customFormat="1" x14ac:dyDescent="0.25">
      <c r="A52" s="10" t="s">
        <v>155</v>
      </c>
    </row>
    <row r="53" spans="1:7" s="10" customFormat="1" ht="30" x14ac:dyDescent="0.25">
      <c r="A53" s="33"/>
      <c r="B53" s="33" t="s">
        <v>119</v>
      </c>
      <c r="C53" s="33" t="s">
        <v>87</v>
      </c>
      <c r="D53" s="33" t="s">
        <v>119</v>
      </c>
      <c r="E53" s="33" t="s">
        <v>87</v>
      </c>
      <c r="F53" s="33" t="s">
        <v>47</v>
      </c>
      <c r="G53" s="33"/>
    </row>
    <row r="54" spans="1:7" s="10" customFormat="1" x14ac:dyDescent="0.25">
      <c r="A54" s="10" t="s">
        <v>71</v>
      </c>
      <c r="B54" s="10">
        <v>7.2240000000000002</v>
      </c>
      <c r="C54" s="10">
        <v>6</v>
      </c>
      <c r="D54" s="10" t="s">
        <v>67</v>
      </c>
      <c r="E54" s="10">
        <v>6</v>
      </c>
      <c r="F54" s="10">
        <f t="shared" ref="F54:F64" si="8">C54+E54</f>
        <v>12</v>
      </c>
      <c r="G54" s="10">
        <f t="shared" ref="G54:G64" si="9">F54/12</f>
        <v>1</v>
      </c>
    </row>
    <row r="55" spans="1:7" s="10" customFormat="1" x14ac:dyDescent="0.25">
      <c r="A55" s="10" t="s">
        <v>72</v>
      </c>
      <c r="B55" s="10">
        <v>11.557</v>
      </c>
      <c r="C55" s="10">
        <v>6</v>
      </c>
      <c r="D55" s="10">
        <v>-0.28100000000000003</v>
      </c>
      <c r="E55" s="10">
        <v>3</v>
      </c>
      <c r="F55" s="10">
        <f t="shared" si="8"/>
        <v>9</v>
      </c>
      <c r="G55" s="10">
        <f t="shared" si="9"/>
        <v>0.75</v>
      </c>
    </row>
    <row r="56" spans="1:7" s="10" customFormat="1" x14ac:dyDescent="0.25">
      <c r="A56" s="10" t="s">
        <v>73</v>
      </c>
      <c r="B56" s="10">
        <v>-0.49399999999999999</v>
      </c>
      <c r="C56" s="10">
        <v>2.5</v>
      </c>
      <c r="D56" s="10">
        <v>0</v>
      </c>
      <c r="E56" s="10">
        <v>3</v>
      </c>
      <c r="F56" s="10">
        <f t="shared" si="8"/>
        <v>5.5</v>
      </c>
      <c r="G56" s="10">
        <f t="shared" si="9"/>
        <v>0.45833333333333331</v>
      </c>
    </row>
    <row r="57" spans="1:7" s="10" customFormat="1" x14ac:dyDescent="0.25">
      <c r="A57" s="10" t="s">
        <v>100</v>
      </c>
      <c r="B57" s="10">
        <v>0.72099999999999997</v>
      </c>
      <c r="C57" s="10">
        <v>4</v>
      </c>
      <c r="D57" s="10">
        <v>0.68</v>
      </c>
      <c r="E57" s="10">
        <v>4</v>
      </c>
      <c r="F57" s="10">
        <f t="shared" si="8"/>
        <v>8</v>
      </c>
      <c r="G57" s="10">
        <f t="shared" si="9"/>
        <v>0.66666666666666663</v>
      </c>
    </row>
    <row r="58" spans="1:7" s="10" customFormat="1" x14ac:dyDescent="0.25">
      <c r="A58" s="10" t="s">
        <v>101</v>
      </c>
      <c r="B58" s="10">
        <v>0</v>
      </c>
      <c r="C58" s="10">
        <v>3</v>
      </c>
      <c r="D58" s="10">
        <v>0.72099999999999997</v>
      </c>
      <c r="E58" s="10">
        <v>4</v>
      </c>
      <c r="F58" s="10">
        <f t="shared" si="8"/>
        <v>7</v>
      </c>
      <c r="G58" s="10">
        <f t="shared" si="9"/>
        <v>0.58333333333333337</v>
      </c>
    </row>
    <row r="59" spans="1:7" s="10" customFormat="1" x14ac:dyDescent="0.25">
      <c r="A59" s="10" t="s">
        <v>102</v>
      </c>
      <c r="B59" s="10">
        <v>1.895</v>
      </c>
      <c r="C59" s="10">
        <v>5</v>
      </c>
      <c r="D59" s="10">
        <v>-0.72099999999999997</v>
      </c>
      <c r="E59" s="10">
        <v>3</v>
      </c>
      <c r="F59" s="10">
        <f t="shared" si="8"/>
        <v>8</v>
      </c>
      <c r="G59" s="10">
        <f t="shared" si="9"/>
        <v>0.66666666666666663</v>
      </c>
    </row>
    <row r="60" spans="1:7" s="10" customFormat="1" x14ac:dyDescent="0.25">
      <c r="A60" s="10" t="s">
        <v>103</v>
      </c>
      <c r="B60" s="10">
        <v>-1.8280000000000001</v>
      </c>
      <c r="C60" s="10">
        <v>1</v>
      </c>
      <c r="D60" s="10">
        <v>0</v>
      </c>
      <c r="E60" s="10">
        <v>3</v>
      </c>
      <c r="F60" s="10">
        <f t="shared" si="8"/>
        <v>4</v>
      </c>
      <c r="G60" s="10">
        <f t="shared" si="9"/>
        <v>0.33333333333333331</v>
      </c>
    </row>
    <row r="61" spans="1:7" s="10" customFormat="1" x14ac:dyDescent="0.25">
      <c r="A61" s="10" t="s">
        <v>104</v>
      </c>
      <c r="B61" s="10">
        <v>1.895</v>
      </c>
      <c r="C61" s="10">
        <v>5</v>
      </c>
      <c r="D61" s="10">
        <v>-1.0920000000000001</v>
      </c>
      <c r="E61" s="10">
        <v>2</v>
      </c>
      <c r="F61" s="10">
        <f t="shared" si="8"/>
        <v>7</v>
      </c>
      <c r="G61" s="10">
        <f t="shared" si="9"/>
        <v>0.58333333333333337</v>
      </c>
    </row>
    <row r="62" spans="1:7" s="10" customFormat="1" x14ac:dyDescent="0.25">
      <c r="A62" s="10" t="s">
        <v>105</v>
      </c>
      <c r="B62" s="10">
        <v>0.68</v>
      </c>
      <c r="C62" s="10">
        <v>4</v>
      </c>
      <c r="D62" s="10">
        <v>0.72099999999999997</v>
      </c>
      <c r="E62" s="10">
        <v>4</v>
      </c>
      <c r="F62" s="10">
        <f t="shared" si="8"/>
        <v>8</v>
      </c>
      <c r="G62" s="10">
        <f t="shared" si="9"/>
        <v>0.66666666666666663</v>
      </c>
    </row>
    <row r="63" spans="1:7" s="10" customFormat="1" x14ac:dyDescent="0.25">
      <c r="A63" s="10" t="s">
        <v>106</v>
      </c>
      <c r="B63" s="10">
        <v>7.2240000000000002</v>
      </c>
      <c r="C63" s="10">
        <v>6</v>
      </c>
      <c r="D63" s="10">
        <v>6.1210000000000004</v>
      </c>
      <c r="E63" s="10">
        <v>6</v>
      </c>
      <c r="F63" s="10">
        <f t="shared" si="8"/>
        <v>12</v>
      </c>
      <c r="G63" s="10">
        <f t="shared" si="9"/>
        <v>1</v>
      </c>
    </row>
    <row r="64" spans="1:7" s="10" customFormat="1" x14ac:dyDescent="0.25">
      <c r="A64" s="10" t="s">
        <v>107</v>
      </c>
      <c r="B64" s="10">
        <v>0.72199999999999998</v>
      </c>
      <c r="C64" s="10">
        <v>4</v>
      </c>
      <c r="D64" s="10">
        <v>1.2649999999999999</v>
      </c>
      <c r="E64" s="10">
        <v>4</v>
      </c>
      <c r="F64" s="10">
        <f t="shared" si="8"/>
        <v>8</v>
      </c>
      <c r="G64" s="10">
        <f t="shared" si="9"/>
        <v>0.66666666666666663</v>
      </c>
    </row>
    <row r="65" spans="2:7" s="10" customFormat="1" x14ac:dyDescent="0.25">
      <c r="B65" s="10" t="s">
        <v>47</v>
      </c>
      <c r="C65" s="10">
        <f>SUM(C54:C64)</f>
        <v>46.5</v>
      </c>
      <c r="D65" s="10" t="s">
        <v>47</v>
      </c>
      <c r="E65" s="10">
        <f>SUM(E54:E64)</f>
        <v>42</v>
      </c>
      <c r="F65" s="10" t="s">
        <v>10</v>
      </c>
      <c r="G65" s="10">
        <f>AVERAGE(G54:G64)</f>
        <v>0.67045454545454541</v>
      </c>
    </row>
    <row r="66" spans="2:7" s="10" customFormat="1" x14ac:dyDescent="0.25">
      <c r="F66" s="10" t="s">
        <v>9</v>
      </c>
      <c r="G66" s="10">
        <f>_xlfn.STDEV.S(G54:G64)</f>
        <v>0.19935185380668421</v>
      </c>
    </row>
    <row r="67" spans="2:7" s="10" customFormat="1" x14ac:dyDescent="0.25">
      <c r="F67" s="10" t="s">
        <v>8</v>
      </c>
      <c r="G67" s="10">
        <f>G66/SQRT(11)</f>
        <v>6.0106845485323121E-2</v>
      </c>
    </row>
  </sheetData>
  <mergeCells count="2">
    <mergeCell ref="B2:K2"/>
    <mergeCell ref="L2:U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8" sqref="H8"/>
    </sheetView>
  </sheetViews>
  <sheetFormatPr defaultRowHeight="15" x14ac:dyDescent="0.25"/>
  <sheetData>
    <row r="1" spans="1:8" x14ac:dyDescent="0.25">
      <c r="B1" t="s">
        <v>27</v>
      </c>
      <c r="C1" t="s">
        <v>28</v>
      </c>
      <c r="D1" t="s">
        <v>29</v>
      </c>
    </row>
    <row r="2" spans="1:8" x14ac:dyDescent="0.25">
      <c r="B2">
        <v>16</v>
      </c>
      <c r="C2">
        <v>17</v>
      </c>
      <c r="D2">
        <f>B2/C2</f>
        <v>0.94117647058823528</v>
      </c>
    </row>
    <row r="3" spans="1:8" ht="15.75" thickBot="1" x14ac:dyDescent="0.3">
      <c r="B3">
        <v>11</v>
      </c>
      <c r="C3">
        <v>18</v>
      </c>
      <c r="D3">
        <f>B3/C3</f>
        <v>0.61111111111111116</v>
      </c>
    </row>
    <row r="4" spans="1:8" x14ac:dyDescent="0.25">
      <c r="B4">
        <v>11</v>
      </c>
      <c r="C4">
        <v>16</v>
      </c>
      <c r="D4">
        <f>B4/C4</f>
        <v>0.6875</v>
      </c>
      <c r="E4" s="115" t="s">
        <v>211</v>
      </c>
      <c r="F4" s="116"/>
      <c r="G4" s="117"/>
    </row>
    <row r="5" spans="1:8" x14ac:dyDescent="0.25">
      <c r="A5" t="s">
        <v>0</v>
      </c>
      <c r="B5">
        <f>SUM(B2:B4)</f>
        <v>38</v>
      </c>
      <c r="C5">
        <f>SUM(C2:C4)</f>
        <v>51</v>
      </c>
      <c r="D5">
        <f>AVERAGE(D2:D4)</f>
        <v>0.74659586056644878</v>
      </c>
      <c r="E5" s="41" t="s">
        <v>33</v>
      </c>
      <c r="F5" s="14" t="s">
        <v>22</v>
      </c>
      <c r="G5" s="110" t="s">
        <v>45</v>
      </c>
    </row>
    <row r="6" spans="1:8" ht="15.75" thickBot="1" x14ac:dyDescent="0.3">
      <c r="D6">
        <f>B5/C5</f>
        <v>0.74509803921568629</v>
      </c>
      <c r="E6" s="111">
        <f>AVERAGE(D3:D4)</f>
        <v>0.64930555555555558</v>
      </c>
      <c r="F6" s="112">
        <f>_xlfn.STDEV.S(D3:D4)</f>
        <v>5.4015101340639013E-2</v>
      </c>
      <c r="G6" s="113">
        <f>F6/SQRT(2)</f>
        <v>3.819444444444442E-2</v>
      </c>
    </row>
    <row r="7" spans="1:8" x14ac:dyDescent="0.25">
      <c r="A7" t="s">
        <v>9</v>
      </c>
      <c r="D7">
        <f>STDEV(D2:D4)</f>
        <v>0.17278606984869435</v>
      </c>
    </row>
    <row r="8" spans="1:8" ht="15.75" thickBot="1" x14ac:dyDescent="0.3">
      <c r="A8" t="s">
        <v>8</v>
      </c>
      <c r="D8">
        <f>D7/SQRT(3)</f>
        <v>9.975808393936117E-2</v>
      </c>
      <c r="G8" s="111">
        <v>0.149305555555556</v>
      </c>
      <c r="H8" s="113">
        <v>3.819444444444442E-2</v>
      </c>
    </row>
  </sheetData>
  <mergeCells count="1">
    <mergeCell ref="E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O22" sqref="O22"/>
    </sheetView>
  </sheetViews>
  <sheetFormatPr defaultRowHeight="15" x14ac:dyDescent="0.25"/>
  <cols>
    <col min="1" max="4" width="11.7109375" customWidth="1"/>
    <col min="9" max="11" width="11.7109375" customWidth="1"/>
  </cols>
  <sheetData>
    <row r="1" spans="1:16" x14ac:dyDescent="0.25">
      <c r="B1" s="37" t="s">
        <v>52</v>
      </c>
      <c r="C1" s="37"/>
      <c r="E1" s="119" t="s">
        <v>53</v>
      </c>
      <c r="F1" s="120"/>
      <c r="G1" s="120"/>
      <c r="H1" s="121"/>
      <c r="J1" s="37" t="s">
        <v>187</v>
      </c>
      <c r="L1" s="118" t="s">
        <v>96</v>
      </c>
      <c r="M1" s="118"/>
      <c r="N1" s="118"/>
      <c r="O1" s="118"/>
    </row>
    <row r="2" spans="1:16" x14ac:dyDescent="0.25">
      <c r="A2" t="s">
        <v>59</v>
      </c>
      <c r="B2" t="s">
        <v>16</v>
      </c>
      <c r="D2" t="s">
        <v>15</v>
      </c>
      <c r="E2" s="35"/>
      <c r="F2" s="14" t="s">
        <v>54</v>
      </c>
      <c r="G2" s="14"/>
      <c r="H2" s="44"/>
      <c r="I2" t="s">
        <v>59</v>
      </c>
      <c r="J2" t="s">
        <v>16</v>
      </c>
      <c r="K2" t="s">
        <v>15</v>
      </c>
      <c r="L2" s="13">
        <v>1</v>
      </c>
      <c r="M2" s="13">
        <v>26</v>
      </c>
      <c r="N2" s="13">
        <v>40</v>
      </c>
      <c r="O2" s="13">
        <f t="shared" ref="O2:O21" si="0">M2/40</f>
        <v>0.65</v>
      </c>
    </row>
    <row r="3" spans="1:16" x14ac:dyDescent="0.25">
      <c r="A3">
        <v>1</v>
      </c>
      <c r="B3">
        <v>11</v>
      </c>
      <c r="C3">
        <v>20</v>
      </c>
      <c r="D3">
        <f t="shared" ref="D3:D38" si="1">B3/20</f>
        <v>0.55000000000000004</v>
      </c>
      <c r="E3" s="35"/>
      <c r="F3" s="14">
        <v>0.35</v>
      </c>
      <c r="G3" s="14">
        <f t="shared" ref="G3:G8" si="2">F3*20</f>
        <v>7</v>
      </c>
      <c r="H3" s="44">
        <v>20</v>
      </c>
      <c r="I3">
        <v>1</v>
      </c>
      <c r="J3">
        <v>11</v>
      </c>
      <c r="K3">
        <f t="shared" ref="K3:K31" si="3">J3/20</f>
        <v>0.55000000000000004</v>
      </c>
      <c r="L3" s="13">
        <v>2</v>
      </c>
      <c r="M3" s="13">
        <v>21</v>
      </c>
      <c r="N3" s="13">
        <v>40</v>
      </c>
      <c r="O3" s="13">
        <f t="shared" si="0"/>
        <v>0.52500000000000002</v>
      </c>
    </row>
    <row r="4" spans="1:16" x14ac:dyDescent="0.25">
      <c r="A4">
        <v>2</v>
      </c>
      <c r="B4">
        <v>11</v>
      </c>
      <c r="C4">
        <v>20</v>
      </c>
      <c r="D4">
        <f t="shared" si="1"/>
        <v>0.55000000000000004</v>
      </c>
      <c r="E4" s="35"/>
      <c r="F4" s="14">
        <v>0.6</v>
      </c>
      <c r="G4" s="14">
        <f t="shared" si="2"/>
        <v>12</v>
      </c>
      <c r="H4" s="44">
        <v>20</v>
      </c>
      <c r="I4">
        <v>2</v>
      </c>
      <c r="J4">
        <v>11</v>
      </c>
      <c r="K4">
        <f t="shared" si="3"/>
        <v>0.55000000000000004</v>
      </c>
      <c r="L4" s="13">
        <v>3</v>
      </c>
      <c r="M4" s="13">
        <v>20</v>
      </c>
      <c r="N4" s="13">
        <v>40</v>
      </c>
      <c r="O4" s="13">
        <f t="shared" si="0"/>
        <v>0.5</v>
      </c>
    </row>
    <row r="5" spans="1:16" x14ac:dyDescent="0.25">
      <c r="A5">
        <v>3</v>
      </c>
      <c r="B5">
        <v>19</v>
      </c>
      <c r="C5">
        <v>40</v>
      </c>
      <c r="D5">
        <f>B5/C5</f>
        <v>0.47499999999999998</v>
      </c>
      <c r="E5" s="35"/>
      <c r="F5" s="14">
        <v>0.55000000000000004</v>
      </c>
      <c r="G5" s="14">
        <f t="shared" si="2"/>
        <v>11</v>
      </c>
      <c r="H5" s="44">
        <v>20</v>
      </c>
      <c r="I5">
        <v>3</v>
      </c>
      <c r="J5">
        <v>9.5</v>
      </c>
      <c r="K5">
        <f t="shared" si="3"/>
        <v>0.47499999999999998</v>
      </c>
      <c r="L5" s="13">
        <v>4</v>
      </c>
      <c r="M5" s="13">
        <v>22</v>
      </c>
      <c r="N5" s="13">
        <v>40</v>
      </c>
      <c r="O5" s="13">
        <f t="shared" si="0"/>
        <v>0.55000000000000004</v>
      </c>
      <c r="P5" s="13"/>
    </row>
    <row r="6" spans="1:16" x14ac:dyDescent="0.25">
      <c r="A6">
        <v>4</v>
      </c>
      <c r="B6">
        <v>13</v>
      </c>
      <c r="C6">
        <v>20</v>
      </c>
      <c r="D6">
        <f t="shared" si="1"/>
        <v>0.65</v>
      </c>
      <c r="E6" s="35"/>
      <c r="F6" s="14">
        <v>0.45</v>
      </c>
      <c r="G6" s="14">
        <f t="shared" si="2"/>
        <v>9</v>
      </c>
      <c r="H6" s="44">
        <v>20</v>
      </c>
      <c r="I6">
        <v>4</v>
      </c>
      <c r="J6">
        <v>13</v>
      </c>
      <c r="K6">
        <f t="shared" si="3"/>
        <v>0.65</v>
      </c>
      <c r="L6" s="13">
        <v>5</v>
      </c>
      <c r="M6" s="13">
        <v>19</v>
      </c>
      <c r="N6" s="13">
        <v>40</v>
      </c>
      <c r="O6" s="13">
        <f t="shared" si="0"/>
        <v>0.47499999999999998</v>
      </c>
    </row>
    <row r="7" spans="1:16" x14ac:dyDescent="0.25">
      <c r="A7">
        <v>5</v>
      </c>
      <c r="B7">
        <v>9</v>
      </c>
      <c r="C7">
        <v>20</v>
      </c>
      <c r="D7">
        <f t="shared" si="1"/>
        <v>0.45</v>
      </c>
      <c r="E7" s="35"/>
      <c r="F7" s="14">
        <v>0.6</v>
      </c>
      <c r="G7" s="14">
        <f t="shared" si="2"/>
        <v>12</v>
      </c>
      <c r="H7" s="44">
        <v>20</v>
      </c>
      <c r="I7">
        <v>5</v>
      </c>
      <c r="J7">
        <v>9</v>
      </c>
      <c r="K7">
        <f t="shared" si="3"/>
        <v>0.45</v>
      </c>
      <c r="L7" s="13">
        <v>6</v>
      </c>
      <c r="M7" s="13">
        <v>18</v>
      </c>
      <c r="N7" s="13">
        <v>40</v>
      </c>
      <c r="O7" s="13">
        <f t="shared" si="0"/>
        <v>0.45</v>
      </c>
    </row>
    <row r="8" spans="1:16" x14ac:dyDescent="0.25">
      <c r="A8">
        <v>6</v>
      </c>
      <c r="B8">
        <v>12</v>
      </c>
      <c r="C8">
        <v>20</v>
      </c>
      <c r="D8">
        <f t="shared" si="1"/>
        <v>0.6</v>
      </c>
      <c r="E8" s="35"/>
      <c r="F8" s="14">
        <v>0.35</v>
      </c>
      <c r="G8" s="14">
        <f t="shared" si="2"/>
        <v>7</v>
      </c>
      <c r="H8" s="44">
        <v>20</v>
      </c>
      <c r="I8">
        <v>6</v>
      </c>
      <c r="J8">
        <v>12</v>
      </c>
      <c r="K8">
        <f t="shared" si="3"/>
        <v>0.6</v>
      </c>
      <c r="L8" s="13">
        <v>7</v>
      </c>
      <c r="M8" s="13">
        <v>21</v>
      </c>
      <c r="N8" s="13">
        <v>40</v>
      </c>
      <c r="O8" s="13">
        <f t="shared" si="0"/>
        <v>0.52500000000000002</v>
      </c>
    </row>
    <row r="9" spans="1:16" x14ac:dyDescent="0.25">
      <c r="A9">
        <v>7</v>
      </c>
      <c r="B9">
        <v>11</v>
      </c>
      <c r="C9">
        <v>20</v>
      </c>
      <c r="D9">
        <f t="shared" si="1"/>
        <v>0.55000000000000004</v>
      </c>
      <c r="E9" s="35" t="s">
        <v>44</v>
      </c>
      <c r="F9" s="14">
        <f>AVERAGE(F3:F8)</f>
        <v>0.48333333333333334</v>
      </c>
      <c r="G9" s="14">
        <f>SUM(G3:G8)</f>
        <v>58</v>
      </c>
      <c r="H9" s="44">
        <f>SUM(H3:H8)</f>
        <v>120</v>
      </c>
      <c r="I9">
        <v>7</v>
      </c>
      <c r="J9">
        <v>11</v>
      </c>
      <c r="K9">
        <f t="shared" si="3"/>
        <v>0.55000000000000004</v>
      </c>
      <c r="L9" s="13">
        <v>8</v>
      </c>
      <c r="M9" s="13">
        <v>24</v>
      </c>
      <c r="N9" s="13">
        <v>40</v>
      </c>
      <c r="O9" s="13">
        <f t="shared" si="0"/>
        <v>0.6</v>
      </c>
      <c r="P9" s="13"/>
    </row>
    <row r="10" spans="1:16" x14ac:dyDescent="0.25">
      <c r="A10">
        <v>8</v>
      </c>
      <c r="B10">
        <v>9</v>
      </c>
      <c r="C10">
        <v>20</v>
      </c>
      <c r="D10">
        <f t="shared" si="1"/>
        <v>0.45</v>
      </c>
      <c r="E10" s="35"/>
      <c r="F10" s="14"/>
      <c r="G10" s="14"/>
      <c r="H10" s="44"/>
      <c r="I10">
        <v>8</v>
      </c>
      <c r="J10">
        <v>9</v>
      </c>
      <c r="K10">
        <f t="shared" si="3"/>
        <v>0.45</v>
      </c>
      <c r="L10" s="13">
        <v>9</v>
      </c>
      <c r="M10" s="13">
        <v>23</v>
      </c>
      <c r="N10" s="13">
        <v>40</v>
      </c>
      <c r="O10" s="13">
        <f t="shared" si="0"/>
        <v>0.57499999999999996</v>
      </c>
    </row>
    <row r="11" spans="1:16" x14ac:dyDescent="0.25">
      <c r="A11">
        <v>9</v>
      </c>
      <c r="B11">
        <v>10</v>
      </c>
      <c r="C11">
        <v>20</v>
      </c>
      <c r="D11">
        <f t="shared" si="1"/>
        <v>0.5</v>
      </c>
      <c r="E11" s="35"/>
      <c r="F11" s="14"/>
      <c r="G11" s="14"/>
      <c r="H11" s="44"/>
      <c r="I11">
        <v>9</v>
      </c>
      <c r="J11">
        <v>10</v>
      </c>
      <c r="K11">
        <f t="shared" si="3"/>
        <v>0.5</v>
      </c>
      <c r="L11" s="13">
        <v>10</v>
      </c>
      <c r="M11" s="13">
        <v>25</v>
      </c>
      <c r="N11" s="13">
        <v>40</v>
      </c>
      <c r="O11" s="13">
        <f t="shared" si="0"/>
        <v>0.625</v>
      </c>
    </row>
    <row r="12" spans="1:16" x14ac:dyDescent="0.25">
      <c r="A12">
        <v>10</v>
      </c>
      <c r="B12">
        <v>9</v>
      </c>
      <c r="C12">
        <v>20</v>
      </c>
      <c r="D12">
        <f t="shared" si="1"/>
        <v>0.45</v>
      </c>
      <c r="E12" s="35"/>
      <c r="F12" s="14"/>
      <c r="G12" s="14"/>
      <c r="H12" s="44"/>
      <c r="I12">
        <v>10</v>
      </c>
      <c r="J12">
        <v>9</v>
      </c>
      <c r="K12">
        <f t="shared" si="3"/>
        <v>0.45</v>
      </c>
      <c r="L12" s="13">
        <v>11</v>
      </c>
      <c r="M12" s="13">
        <v>22</v>
      </c>
      <c r="N12" s="13">
        <v>40</v>
      </c>
      <c r="O12" s="13">
        <f t="shared" si="0"/>
        <v>0.55000000000000004</v>
      </c>
    </row>
    <row r="13" spans="1:16" x14ac:dyDescent="0.25">
      <c r="A13">
        <v>11</v>
      </c>
      <c r="B13">
        <v>10</v>
      </c>
      <c r="C13">
        <v>20</v>
      </c>
      <c r="D13">
        <f t="shared" si="1"/>
        <v>0.5</v>
      </c>
      <c r="E13" s="35"/>
      <c r="F13" s="14"/>
      <c r="G13" s="14"/>
      <c r="H13" s="44"/>
      <c r="I13">
        <v>11</v>
      </c>
      <c r="J13">
        <v>10</v>
      </c>
      <c r="K13">
        <f t="shared" si="3"/>
        <v>0.5</v>
      </c>
      <c r="L13" s="13">
        <v>12</v>
      </c>
      <c r="M13" s="13">
        <v>21</v>
      </c>
      <c r="N13" s="13">
        <v>40</v>
      </c>
      <c r="O13" s="13">
        <f t="shared" si="0"/>
        <v>0.52500000000000002</v>
      </c>
    </row>
    <row r="14" spans="1:16" x14ac:dyDescent="0.25">
      <c r="A14">
        <f t="shared" ref="A14:A38" si="4">A4+10</f>
        <v>12</v>
      </c>
      <c r="B14">
        <v>11</v>
      </c>
      <c r="C14">
        <v>20</v>
      </c>
      <c r="D14">
        <f t="shared" si="1"/>
        <v>0.55000000000000004</v>
      </c>
      <c r="E14" s="35"/>
      <c r="F14" s="14"/>
      <c r="G14" s="14"/>
      <c r="H14" s="44"/>
      <c r="I14">
        <f t="shared" ref="I14:I38" si="5">I4+10</f>
        <v>12</v>
      </c>
      <c r="J14">
        <v>11</v>
      </c>
      <c r="K14">
        <f t="shared" si="3"/>
        <v>0.55000000000000004</v>
      </c>
      <c r="L14" s="13">
        <v>13</v>
      </c>
      <c r="M14" s="13">
        <v>22</v>
      </c>
      <c r="N14" s="13">
        <v>40</v>
      </c>
      <c r="O14" s="13">
        <f t="shared" si="0"/>
        <v>0.55000000000000004</v>
      </c>
    </row>
    <row r="15" spans="1:16" x14ac:dyDescent="0.25">
      <c r="A15">
        <f t="shared" si="4"/>
        <v>13</v>
      </c>
      <c r="B15">
        <v>13</v>
      </c>
      <c r="C15">
        <v>20</v>
      </c>
      <c r="D15">
        <f t="shared" si="1"/>
        <v>0.65</v>
      </c>
      <c r="E15" s="35"/>
      <c r="F15" s="14"/>
      <c r="G15" s="14"/>
      <c r="H15" s="44"/>
      <c r="I15">
        <f t="shared" si="5"/>
        <v>13</v>
      </c>
      <c r="J15">
        <v>13</v>
      </c>
      <c r="K15">
        <f t="shared" si="3"/>
        <v>0.65</v>
      </c>
      <c r="L15" s="13">
        <v>14</v>
      </c>
      <c r="M15" s="13">
        <v>22</v>
      </c>
      <c r="N15" s="13">
        <v>40</v>
      </c>
      <c r="O15" s="13">
        <f t="shared" si="0"/>
        <v>0.55000000000000004</v>
      </c>
    </row>
    <row r="16" spans="1:16" x14ac:dyDescent="0.25">
      <c r="A16">
        <f t="shared" si="4"/>
        <v>14</v>
      </c>
      <c r="B16">
        <v>12</v>
      </c>
      <c r="C16">
        <v>20</v>
      </c>
      <c r="D16">
        <f t="shared" si="1"/>
        <v>0.6</v>
      </c>
      <c r="E16" s="35"/>
      <c r="F16" s="14"/>
      <c r="G16" s="14"/>
      <c r="H16" s="44"/>
      <c r="I16">
        <f t="shared" si="5"/>
        <v>14</v>
      </c>
      <c r="J16">
        <v>12</v>
      </c>
      <c r="K16">
        <f t="shared" si="3"/>
        <v>0.6</v>
      </c>
      <c r="L16" s="13">
        <v>15</v>
      </c>
      <c r="M16" s="13">
        <v>26</v>
      </c>
      <c r="N16" s="13">
        <v>40</v>
      </c>
      <c r="O16" s="13">
        <f t="shared" si="0"/>
        <v>0.65</v>
      </c>
    </row>
    <row r="17" spans="1:15" x14ac:dyDescent="0.25">
      <c r="A17">
        <f t="shared" si="4"/>
        <v>15</v>
      </c>
      <c r="B17">
        <v>11</v>
      </c>
      <c r="C17">
        <v>20</v>
      </c>
      <c r="D17">
        <f t="shared" si="1"/>
        <v>0.55000000000000004</v>
      </c>
      <c r="E17" s="35"/>
      <c r="F17" s="14"/>
      <c r="G17" s="14"/>
      <c r="H17" s="44"/>
      <c r="I17">
        <f t="shared" si="5"/>
        <v>15</v>
      </c>
      <c r="J17">
        <v>11</v>
      </c>
      <c r="K17">
        <f t="shared" si="3"/>
        <v>0.55000000000000004</v>
      </c>
      <c r="L17" s="13">
        <v>16</v>
      </c>
      <c r="M17" s="13">
        <v>21</v>
      </c>
      <c r="N17" s="13">
        <v>40</v>
      </c>
      <c r="O17" s="13">
        <f t="shared" si="0"/>
        <v>0.52500000000000002</v>
      </c>
    </row>
    <row r="18" spans="1:15" x14ac:dyDescent="0.25">
      <c r="A18">
        <f t="shared" si="4"/>
        <v>16</v>
      </c>
      <c r="B18">
        <v>14</v>
      </c>
      <c r="C18">
        <v>20</v>
      </c>
      <c r="D18">
        <f t="shared" si="1"/>
        <v>0.7</v>
      </c>
      <c r="E18" s="35"/>
      <c r="F18" s="14"/>
      <c r="G18" s="14"/>
      <c r="H18" s="44"/>
      <c r="I18">
        <f t="shared" si="5"/>
        <v>16</v>
      </c>
      <c r="J18">
        <v>14</v>
      </c>
      <c r="K18">
        <f t="shared" si="3"/>
        <v>0.7</v>
      </c>
      <c r="L18" s="13">
        <v>17</v>
      </c>
      <c r="M18" s="13">
        <v>18</v>
      </c>
      <c r="N18" s="13">
        <v>40</v>
      </c>
      <c r="O18" s="13">
        <f t="shared" si="0"/>
        <v>0.45</v>
      </c>
    </row>
    <row r="19" spans="1:15" x14ac:dyDescent="0.25">
      <c r="A19">
        <f t="shared" si="4"/>
        <v>17</v>
      </c>
      <c r="B19">
        <v>11</v>
      </c>
      <c r="C19">
        <v>20</v>
      </c>
      <c r="D19">
        <f t="shared" si="1"/>
        <v>0.55000000000000004</v>
      </c>
      <c r="E19" s="35"/>
      <c r="F19" s="14"/>
      <c r="G19" s="14"/>
      <c r="H19" s="44"/>
      <c r="I19">
        <f t="shared" si="5"/>
        <v>17</v>
      </c>
      <c r="J19">
        <v>11</v>
      </c>
      <c r="K19">
        <f t="shared" si="3"/>
        <v>0.55000000000000004</v>
      </c>
      <c r="L19" s="13">
        <v>18</v>
      </c>
      <c r="M19" s="13">
        <v>21</v>
      </c>
      <c r="N19" s="13">
        <v>40</v>
      </c>
      <c r="O19" s="13">
        <f t="shared" si="0"/>
        <v>0.52500000000000002</v>
      </c>
    </row>
    <row r="20" spans="1:15" x14ac:dyDescent="0.25">
      <c r="A20">
        <f t="shared" si="4"/>
        <v>18</v>
      </c>
      <c r="B20">
        <v>11</v>
      </c>
      <c r="C20">
        <v>20</v>
      </c>
      <c r="D20">
        <f t="shared" si="1"/>
        <v>0.55000000000000004</v>
      </c>
      <c r="E20" s="35"/>
      <c r="F20" s="14"/>
      <c r="G20" s="14"/>
      <c r="H20" s="44"/>
      <c r="I20">
        <f t="shared" si="5"/>
        <v>18</v>
      </c>
      <c r="J20">
        <v>11</v>
      </c>
      <c r="K20">
        <f t="shared" si="3"/>
        <v>0.55000000000000004</v>
      </c>
      <c r="L20" s="13">
        <v>19</v>
      </c>
      <c r="M20" s="13">
        <v>19</v>
      </c>
      <c r="N20" s="13">
        <v>40</v>
      </c>
      <c r="O20" s="13">
        <f t="shared" si="0"/>
        <v>0.47499999999999998</v>
      </c>
    </row>
    <row r="21" spans="1:15" x14ac:dyDescent="0.25">
      <c r="A21">
        <f t="shared" si="4"/>
        <v>19</v>
      </c>
      <c r="B21">
        <v>12</v>
      </c>
      <c r="C21">
        <v>20</v>
      </c>
      <c r="D21">
        <f t="shared" si="1"/>
        <v>0.6</v>
      </c>
      <c r="E21" s="35"/>
      <c r="F21" s="14"/>
      <c r="G21" s="14"/>
      <c r="H21" s="44"/>
      <c r="I21">
        <f t="shared" si="5"/>
        <v>19</v>
      </c>
      <c r="J21">
        <v>12</v>
      </c>
      <c r="K21">
        <f t="shared" si="3"/>
        <v>0.6</v>
      </c>
      <c r="L21" s="13">
        <v>20</v>
      </c>
      <c r="M21" s="13">
        <v>20</v>
      </c>
      <c r="N21" s="13">
        <v>40</v>
      </c>
      <c r="O21" s="13">
        <f t="shared" si="0"/>
        <v>0.5</v>
      </c>
    </row>
    <row r="22" spans="1:15" x14ac:dyDescent="0.25">
      <c r="A22">
        <f t="shared" si="4"/>
        <v>20</v>
      </c>
      <c r="B22">
        <v>12</v>
      </c>
      <c r="C22">
        <v>20</v>
      </c>
      <c r="D22">
        <f t="shared" si="1"/>
        <v>0.6</v>
      </c>
      <c r="E22" s="35"/>
      <c r="F22" s="14"/>
      <c r="G22" s="14"/>
      <c r="H22" s="44"/>
      <c r="I22">
        <f t="shared" si="5"/>
        <v>20</v>
      </c>
      <c r="J22">
        <v>12</v>
      </c>
      <c r="K22">
        <f t="shared" si="3"/>
        <v>0.6</v>
      </c>
      <c r="M22">
        <f>SUM(M2:M21)</f>
        <v>431</v>
      </c>
      <c r="N22">
        <f>SUM(N2:N21)</f>
        <v>800</v>
      </c>
      <c r="O22">
        <f>M22/N22</f>
        <v>0.53874999999999995</v>
      </c>
    </row>
    <row r="23" spans="1:15" x14ac:dyDescent="0.25">
      <c r="A23">
        <f t="shared" si="4"/>
        <v>21</v>
      </c>
      <c r="B23">
        <v>8</v>
      </c>
      <c r="C23">
        <v>20</v>
      </c>
      <c r="D23">
        <f t="shared" si="1"/>
        <v>0.4</v>
      </c>
      <c r="E23" s="35"/>
      <c r="F23" s="14"/>
      <c r="G23" s="14"/>
      <c r="H23" s="44"/>
      <c r="I23">
        <f t="shared" si="5"/>
        <v>21</v>
      </c>
      <c r="J23">
        <v>8</v>
      </c>
      <c r="K23">
        <f t="shared" si="3"/>
        <v>0.4</v>
      </c>
    </row>
    <row r="24" spans="1:15" x14ac:dyDescent="0.25">
      <c r="A24">
        <f t="shared" si="4"/>
        <v>22</v>
      </c>
      <c r="B24">
        <v>13</v>
      </c>
      <c r="C24">
        <v>20</v>
      </c>
      <c r="D24">
        <f t="shared" si="1"/>
        <v>0.65</v>
      </c>
      <c r="E24" s="35"/>
      <c r="F24" s="14"/>
      <c r="G24" s="14"/>
      <c r="H24" s="44"/>
      <c r="I24">
        <f t="shared" si="5"/>
        <v>22</v>
      </c>
      <c r="J24">
        <v>13</v>
      </c>
      <c r="K24">
        <f t="shared" si="3"/>
        <v>0.65</v>
      </c>
    </row>
    <row r="25" spans="1:15" x14ac:dyDescent="0.25">
      <c r="A25">
        <f t="shared" si="4"/>
        <v>23</v>
      </c>
      <c r="B25">
        <v>7</v>
      </c>
      <c r="C25">
        <v>20</v>
      </c>
      <c r="D25">
        <f t="shared" si="1"/>
        <v>0.35</v>
      </c>
      <c r="E25" s="35"/>
      <c r="F25" s="14"/>
      <c r="G25" s="14"/>
      <c r="H25" s="44"/>
      <c r="I25">
        <f t="shared" si="5"/>
        <v>23</v>
      </c>
      <c r="J25">
        <v>7</v>
      </c>
      <c r="K25">
        <f t="shared" si="3"/>
        <v>0.35</v>
      </c>
    </row>
    <row r="26" spans="1:15" x14ac:dyDescent="0.25">
      <c r="A26">
        <f t="shared" si="4"/>
        <v>24</v>
      </c>
      <c r="B26">
        <v>8</v>
      </c>
      <c r="C26">
        <v>20</v>
      </c>
      <c r="D26">
        <f t="shared" si="1"/>
        <v>0.4</v>
      </c>
      <c r="E26" s="35"/>
      <c r="F26" s="14"/>
      <c r="G26" s="14"/>
      <c r="H26" s="44"/>
      <c r="I26">
        <f t="shared" si="5"/>
        <v>24</v>
      </c>
      <c r="J26">
        <v>8</v>
      </c>
      <c r="K26">
        <f t="shared" si="3"/>
        <v>0.4</v>
      </c>
    </row>
    <row r="27" spans="1:15" x14ac:dyDescent="0.25">
      <c r="A27">
        <f t="shared" si="4"/>
        <v>25</v>
      </c>
      <c r="B27">
        <v>11</v>
      </c>
      <c r="C27">
        <v>20</v>
      </c>
      <c r="D27">
        <f t="shared" si="1"/>
        <v>0.55000000000000004</v>
      </c>
      <c r="E27" s="35"/>
      <c r="F27" s="14"/>
      <c r="G27" s="14"/>
      <c r="H27" s="44"/>
      <c r="I27">
        <f t="shared" si="5"/>
        <v>25</v>
      </c>
      <c r="J27">
        <v>11</v>
      </c>
      <c r="K27">
        <f t="shared" si="3"/>
        <v>0.55000000000000004</v>
      </c>
    </row>
    <row r="28" spans="1:15" x14ac:dyDescent="0.25">
      <c r="A28">
        <f t="shared" si="4"/>
        <v>26</v>
      </c>
      <c r="B28">
        <v>9</v>
      </c>
      <c r="C28">
        <v>20</v>
      </c>
      <c r="D28">
        <f t="shared" si="1"/>
        <v>0.45</v>
      </c>
      <c r="E28" s="35"/>
      <c r="F28" s="14"/>
      <c r="G28" s="14"/>
      <c r="H28" s="44"/>
      <c r="I28">
        <f t="shared" si="5"/>
        <v>26</v>
      </c>
      <c r="J28">
        <v>9</v>
      </c>
      <c r="K28">
        <f t="shared" si="3"/>
        <v>0.45</v>
      </c>
      <c r="L28" t="s">
        <v>69</v>
      </c>
    </row>
    <row r="29" spans="1:15" x14ac:dyDescent="0.25">
      <c r="A29">
        <f t="shared" si="4"/>
        <v>27</v>
      </c>
      <c r="B29">
        <v>7</v>
      </c>
      <c r="C29">
        <v>20</v>
      </c>
      <c r="D29">
        <f t="shared" si="1"/>
        <v>0.35</v>
      </c>
      <c r="E29" s="35"/>
      <c r="F29" s="14"/>
      <c r="G29" s="14"/>
      <c r="H29" s="44"/>
      <c r="I29">
        <f t="shared" si="5"/>
        <v>27</v>
      </c>
      <c r="J29">
        <v>7</v>
      </c>
      <c r="K29">
        <f t="shared" si="3"/>
        <v>0.35</v>
      </c>
    </row>
    <row r="30" spans="1:15" x14ac:dyDescent="0.25">
      <c r="A30">
        <f t="shared" si="4"/>
        <v>28</v>
      </c>
      <c r="B30">
        <v>10</v>
      </c>
      <c r="C30">
        <v>20</v>
      </c>
      <c r="D30">
        <f t="shared" si="1"/>
        <v>0.5</v>
      </c>
      <c r="E30" s="35"/>
      <c r="F30" s="14"/>
      <c r="G30" s="14"/>
      <c r="H30" s="44"/>
      <c r="I30">
        <f t="shared" si="5"/>
        <v>28</v>
      </c>
      <c r="J30">
        <v>10</v>
      </c>
      <c r="K30">
        <f t="shared" si="3"/>
        <v>0.5</v>
      </c>
    </row>
    <row r="31" spans="1:15" x14ac:dyDescent="0.25">
      <c r="A31">
        <f t="shared" si="4"/>
        <v>29</v>
      </c>
      <c r="B31">
        <v>10</v>
      </c>
      <c r="C31">
        <v>20</v>
      </c>
      <c r="D31">
        <f t="shared" si="1"/>
        <v>0.5</v>
      </c>
      <c r="E31" s="35"/>
      <c r="F31" s="14"/>
      <c r="G31" s="14"/>
      <c r="H31" s="44"/>
      <c r="I31">
        <f t="shared" si="5"/>
        <v>29</v>
      </c>
      <c r="J31">
        <v>10</v>
      </c>
      <c r="K31">
        <f t="shared" si="3"/>
        <v>0.5</v>
      </c>
    </row>
    <row r="32" spans="1:15" x14ac:dyDescent="0.25">
      <c r="A32">
        <f t="shared" si="4"/>
        <v>30</v>
      </c>
      <c r="B32">
        <v>15</v>
      </c>
      <c r="C32">
        <v>20</v>
      </c>
      <c r="D32">
        <f>B32/20</f>
        <v>0.75</v>
      </c>
      <c r="E32" s="35"/>
      <c r="F32" s="14"/>
      <c r="G32" s="14"/>
      <c r="H32" s="44"/>
      <c r="I32">
        <f t="shared" si="5"/>
        <v>30</v>
      </c>
      <c r="J32">
        <v>73</v>
      </c>
      <c r="K32">
        <f>J32/140</f>
        <v>0.52142857142857146</v>
      </c>
    </row>
    <row r="33" spans="1:11" x14ac:dyDescent="0.25">
      <c r="A33">
        <f t="shared" si="4"/>
        <v>31</v>
      </c>
      <c r="B33">
        <v>9</v>
      </c>
      <c r="C33">
        <v>20</v>
      </c>
      <c r="D33">
        <f t="shared" si="1"/>
        <v>0.45</v>
      </c>
      <c r="E33" s="35"/>
      <c r="F33" s="14"/>
      <c r="G33" s="14"/>
      <c r="H33" s="44"/>
      <c r="I33">
        <f t="shared" si="5"/>
        <v>31</v>
      </c>
      <c r="J33">
        <v>9</v>
      </c>
      <c r="K33">
        <f t="shared" ref="K33:K38" si="6">J33/20</f>
        <v>0.45</v>
      </c>
    </row>
    <row r="34" spans="1:11" x14ac:dyDescent="0.25">
      <c r="A34">
        <f t="shared" si="4"/>
        <v>32</v>
      </c>
      <c r="B34">
        <v>10</v>
      </c>
      <c r="C34">
        <v>20</v>
      </c>
      <c r="D34">
        <f t="shared" si="1"/>
        <v>0.5</v>
      </c>
      <c r="E34" s="35"/>
      <c r="F34" s="14"/>
      <c r="G34" s="14"/>
      <c r="H34" s="44"/>
      <c r="I34">
        <f t="shared" si="5"/>
        <v>32</v>
      </c>
      <c r="J34">
        <v>10</v>
      </c>
      <c r="K34">
        <f t="shared" si="6"/>
        <v>0.5</v>
      </c>
    </row>
    <row r="35" spans="1:11" x14ac:dyDescent="0.25">
      <c r="A35">
        <f t="shared" si="4"/>
        <v>33</v>
      </c>
      <c r="B35">
        <v>12</v>
      </c>
      <c r="C35">
        <v>20</v>
      </c>
      <c r="D35">
        <f t="shared" si="1"/>
        <v>0.6</v>
      </c>
      <c r="E35" s="35"/>
      <c r="F35" s="14"/>
      <c r="G35" s="14"/>
      <c r="H35" s="44"/>
      <c r="I35">
        <f t="shared" si="5"/>
        <v>33</v>
      </c>
      <c r="J35">
        <v>12</v>
      </c>
      <c r="K35">
        <f t="shared" si="6"/>
        <v>0.6</v>
      </c>
    </row>
    <row r="36" spans="1:11" x14ac:dyDescent="0.25">
      <c r="A36">
        <f t="shared" si="4"/>
        <v>34</v>
      </c>
      <c r="B36">
        <v>11</v>
      </c>
      <c r="C36">
        <v>20</v>
      </c>
      <c r="D36">
        <f t="shared" si="1"/>
        <v>0.55000000000000004</v>
      </c>
      <c r="E36" s="35"/>
      <c r="F36" s="14"/>
      <c r="G36" s="14"/>
      <c r="H36" s="44"/>
      <c r="I36">
        <f t="shared" si="5"/>
        <v>34</v>
      </c>
      <c r="J36">
        <v>11</v>
      </c>
      <c r="K36">
        <f t="shared" si="6"/>
        <v>0.55000000000000004</v>
      </c>
    </row>
    <row r="37" spans="1:11" x14ac:dyDescent="0.25">
      <c r="A37">
        <f t="shared" si="4"/>
        <v>35</v>
      </c>
      <c r="B37">
        <v>12</v>
      </c>
      <c r="C37">
        <v>20</v>
      </c>
      <c r="D37">
        <f t="shared" si="1"/>
        <v>0.6</v>
      </c>
      <c r="E37" s="35"/>
      <c r="F37" s="14"/>
      <c r="G37" s="14"/>
      <c r="H37" s="44"/>
      <c r="I37">
        <f t="shared" si="5"/>
        <v>35</v>
      </c>
      <c r="J37">
        <v>12</v>
      </c>
      <c r="K37">
        <f t="shared" si="6"/>
        <v>0.6</v>
      </c>
    </row>
    <row r="38" spans="1:11" x14ac:dyDescent="0.25">
      <c r="A38">
        <f t="shared" si="4"/>
        <v>36</v>
      </c>
      <c r="B38">
        <v>13</v>
      </c>
      <c r="C38">
        <v>20</v>
      </c>
      <c r="D38">
        <f t="shared" si="1"/>
        <v>0.65</v>
      </c>
      <c r="E38" s="35"/>
      <c r="F38" s="14"/>
      <c r="G38" s="14"/>
      <c r="H38" s="44"/>
      <c r="I38">
        <f t="shared" si="5"/>
        <v>36</v>
      </c>
      <c r="J38">
        <v>13</v>
      </c>
      <c r="K38">
        <f t="shared" si="6"/>
        <v>0.65</v>
      </c>
    </row>
    <row r="39" spans="1:11" x14ac:dyDescent="0.25">
      <c r="A39" t="s">
        <v>33</v>
      </c>
      <c r="B39">
        <f>AVERAGE(B3:B38)</f>
        <v>11</v>
      </c>
      <c r="C39">
        <f>SUM(C3:C38)</f>
        <v>740</v>
      </c>
      <c r="D39">
        <f>AVERAGE(D3:D38)</f>
        <v>0.53680555555555565</v>
      </c>
      <c r="E39" s="35"/>
      <c r="F39" s="14"/>
      <c r="G39" s="14"/>
      <c r="H39" s="44"/>
      <c r="I39" t="s">
        <v>33</v>
      </c>
      <c r="J39">
        <f>AVERAGE(J3:J38)</f>
        <v>12.347222222222221</v>
      </c>
      <c r="K39">
        <f>AVERAGE(K3:K38)</f>
        <v>0.53045634920634932</v>
      </c>
    </row>
    <row r="40" spans="1:11" x14ac:dyDescent="0.25">
      <c r="A40" t="s">
        <v>38</v>
      </c>
      <c r="B40">
        <f>STDEV(B3:B38)</f>
        <v>2.3052734575936351</v>
      </c>
      <c r="D40">
        <f>STDEV(D3:D38)</f>
        <v>9.3251984105875541E-2</v>
      </c>
      <c r="E40" s="35"/>
      <c r="F40" s="14"/>
      <c r="G40" s="14"/>
      <c r="H40" s="44"/>
      <c r="I40" t="s">
        <v>38</v>
      </c>
      <c r="J40">
        <f>STDEV(J3:J38)</f>
        <v>10.538242903447591</v>
      </c>
      <c r="K40">
        <f>STDEV(K3:K38)</f>
        <v>8.5805589598516682E-2</v>
      </c>
    </row>
    <row r="41" spans="1:11" x14ac:dyDescent="0.25">
      <c r="B41">
        <f>SUM(B3:B38)</f>
        <v>396</v>
      </c>
      <c r="C41">
        <f>SUM(C3:C38)</f>
        <v>740</v>
      </c>
      <c r="D41">
        <f>B41/C41</f>
        <v>0.53513513513513511</v>
      </c>
      <c r="E41" s="35"/>
      <c r="F41" s="14"/>
      <c r="G41" s="14"/>
      <c r="H41" s="44"/>
      <c r="J41">
        <f>SUM(J3:J38)</f>
        <v>444.5</v>
      </c>
    </row>
    <row r="42" spans="1:11" x14ac:dyDescent="0.25">
      <c r="E42" s="35"/>
      <c r="F42" s="14"/>
      <c r="G42" s="14"/>
      <c r="H42" s="44"/>
    </row>
    <row r="43" spans="1:11" x14ac:dyDescent="0.25">
      <c r="A43" t="s">
        <v>11</v>
      </c>
      <c r="D43">
        <v>40</v>
      </c>
      <c r="E43" s="35"/>
      <c r="F43" s="14"/>
      <c r="G43" s="14"/>
      <c r="H43" s="44"/>
    </row>
    <row r="44" spans="1:11" x14ac:dyDescent="0.25">
      <c r="A44" t="s">
        <v>7</v>
      </c>
      <c r="D44">
        <v>0.5</v>
      </c>
      <c r="E44" s="35"/>
      <c r="F44" s="14"/>
      <c r="G44" s="14"/>
      <c r="H44" s="44"/>
    </row>
    <row r="45" spans="1:11" x14ac:dyDescent="0.25">
      <c r="A45" t="s">
        <v>6</v>
      </c>
      <c r="D45">
        <v>0.05</v>
      </c>
      <c r="E45" s="35"/>
      <c r="F45" s="14"/>
      <c r="G45" s="14"/>
      <c r="H45" s="44"/>
    </row>
    <row r="46" spans="1:11" x14ac:dyDescent="0.25">
      <c r="A46" t="s">
        <v>5</v>
      </c>
      <c r="D46">
        <v>1</v>
      </c>
      <c r="E46" s="35"/>
      <c r="F46" s="14"/>
      <c r="G46" s="14"/>
      <c r="H46" s="44"/>
    </row>
    <row r="47" spans="1:11" x14ac:dyDescent="0.25">
      <c r="A47" t="s">
        <v>4</v>
      </c>
      <c r="D47">
        <f>D43-1</f>
        <v>39</v>
      </c>
      <c r="E47" s="35"/>
      <c r="F47" s="14"/>
      <c r="G47" s="14"/>
      <c r="H47" s="44"/>
    </row>
    <row r="48" spans="1:11" x14ac:dyDescent="0.25">
      <c r="A48" t="s">
        <v>8</v>
      </c>
      <c r="D48">
        <f>D40/SQRT(D43)</f>
        <v>1.4744433305219349E-2</v>
      </c>
      <c r="E48" s="35"/>
      <c r="F48" s="14"/>
      <c r="G48" s="14"/>
      <c r="H48" s="44"/>
    </row>
    <row r="49" spans="1:8" x14ac:dyDescent="0.25">
      <c r="A49" t="s">
        <v>39</v>
      </c>
      <c r="D49">
        <f>(D39-D44)/D48</f>
        <v>2.4962339883572824</v>
      </c>
      <c r="E49" s="35"/>
      <c r="F49" s="14"/>
      <c r="G49" s="14"/>
      <c r="H49" s="44"/>
    </row>
    <row r="50" spans="1:8" x14ac:dyDescent="0.25">
      <c r="A50" t="s">
        <v>40</v>
      </c>
      <c r="D50">
        <f>TDIST(ABS(D49),D47,D46)</f>
        <v>8.4435819609953947E-3</v>
      </c>
      <c r="E50" s="35"/>
      <c r="F50" s="14"/>
      <c r="G50" s="14"/>
      <c r="H50" s="44"/>
    </row>
  </sheetData>
  <mergeCells count="2">
    <mergeCell ref="L1:O1"/>
    <mergeCell ref="E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C3" workbookViewId="0">
      <selection activeCell="E43" sqref="E43"/>
    </sheetView>
  </sheetViews>
  <sheetFormatPr defaultRowHeight="15" x14ac:dyDescent="0.25"/>
  <cols>
    <col min="7" max="7" width="9.140625" customWidth="1"/>
    <col min="8" max="8" width="9.140625" style="41"/>
  </cols>
  <sheetData>
    <row r="1" spans="1:18" x14ac:dyDescent="0.25">
      <c r="A1" s="1" t="s">
        <v>52</v>
      </c>
      <c r="H1" s="39" t="s">
        <v>53</v>
      </c>
      <c r="M1" s="1" t="s">
        <v>187</v>
      </c>
    </row>
    <row r="2" spans="1:18" s="38" customFormat="1" ht="27.95" customHeight="1" x14ac:dyDescent="0.2">
      <c r="B2" s="38" t="s">
        <v>41</v>
      </c>
      <c r="C2" s="38" t="s">
        <v>68</v>
      </c>
      <c r="D2" s="38" t="s">
        <v>42</v>
      </c>
      <c r="E2" s="38" t="s">
        <v>43</v>
      </c>
      <c r="F2" s="38" t="s">
        <v>3</v>
      </c>
      <c r="G2" s="38" t="s">
        <v>48</v>
      </c>
      <c r="H2" s="40"/>
      <c r="J2" s="38" t="s">
        <v>59</v>
      </c>
      <c r="M2" s="43"/>
      <c r="Q2" s="38" t="s">
        <v>68</v>
      </c>
      <c r="R2" s="38" t="s">
        <v>48</v>
      </c>
    </row>
    <row r="3" spans="1:18" x14ac:dyDescent="0.25">
      <c r="A3" s="118">
        <v>1</v>
      </c>
      <c r="B3">
        <v>17</v>
      </c>
      <c r="C3" s="118">
        <f>SUM(B3:B5)</f>
        <v>47</v>
      </c>
      <c r="D3">
        <f t="shared" ref="D3:D41" si="0">B3/32</f>
        <v>0.53125</v>
      </c>
      <c r="E3" s="118">
        <f>(D3+D4+D5)/3</f>
        <v>0.48958333333333331</v>
      </c>
      <c r="F3">
        <f t="shared" ref="F3:F41" si="1">1 - BINOMDIST(B3-1,32,0.5,TRUE)</f>
        <v>0.43002503295429073</v>
      </c>
      <c r="G3" s="118">
        <f>1 - BINOMDIST(B3+B4+B5-1,96,0.5,TRUE)</f>
        <v>0.62017535583818562</v>
      </c>
      <c r="H3" s="41" t="s">
        <v>60</v>
      </c>
      <c r="I3">
        <v>2</v>
      </c>
      <c r="J3">
        <v>6</v>
      </c>
      <c r="K3">
        <v>9</v>
      </c>
      <c r="L3" t="s">
        <v>33</v>
      </c>
      <c r="M3" s="9">
        <v>1</v>
      </c>
      <c r="N3" s="9">
        <v>47</v>
      </c>
      <c r="O3" s="9">
        <v>96</v>
      </c>
      <c r="P3">
        <f t="shared" ref="P3:P15" si="2">N3/O3</f>
        <v>0.48958333333333331</v>
      </c>
      <c r="Q3">
        <v>47</v>
      </c>
      <c r="R3">
        <v>0.62017535583818562</v>
      </c>
    </row>
    <row r="4" spans="1:18" x14ac:dyDescent="0.25">
      <c r="A4" s="118"/>
      <c r="B4">
        <v>16</v>
      </c>
      <c r="C4" s="118"/>
      <c r="D4">
        <f t="shared" si="0"/>
        <v>0.5</v>
      </c>
      <c r="E4" s="118"/>
      <c r="F4">
        <f t="shared" si="1"/>
        <v>0.56997496704570927</v>
      </c>
      <c r="G4" s="118"/>
      <c r="H4" s="42" t="s">
        <v>61</v>
      </c>
      <c r="I4">
        <v>0.47499999999999998</v>
      </c>
      <c r="J4">
        <v>0.375</v>
      </c>
      <c r="K4">
        <v>0.52500000000000002</v>
      </c>
      <c r="L4">
        <f>AVERAGE(I4:K4)</f>
        <v>0.45833333333333331</v>
      </c>
      <c r="M4" s="9">
        <v>2</v>
      </c>
      <c r="N4" s="9">
        <v>158</v>
      </c>
      <c r="O4" s="9">
        <v>296</v>
      </c>
      <c r="P4">
        <f t="shared" si="2"/>
        <v>0.53378378378378377</v>
      </c>
      <c r="Q4">
        <v>55</v>
      </c>
    </row>
    <row r="5" spans="1:18" x14ac:dyDescent="0.25">
      <c r="A5" s="118"/>
      <c r="B5">
        <v>14</v>
      </c>
      <c r="C5" s="118"/>
      <c r="D5">
        <f t="shared" si="0"/>
        <v>0.4375</v>
      </c>
      <c r="E5" s="118"/>
      <c r="F5">
        <f t="shared" si="1"/>
        <v>0.81145720626227558</v>
      </c>
      <c r="G5" s="118"/>
      <c r="H5" s="42" t="s">
        <v>62</v>
      </c>
      <c r="I5">
        <v>0.45</v>
      </c>
      <c r="J5">
        <v>0.3</v>
      </c>
      <c r="K5">
        <v>0.47499999999999998</v>
      </c>
      <c r="L5">
        <f>AVERAGE(I5:K5)</f>
        <v>0.40833333333333338</v>
      </c>
      <c r="M5" s="9">
        <v>3</v>
      </c>
      <c r="N5" s="9">
        <v>48</v>
      </c>
      <c r="O5" s="9">
        <v>96</v>
      </c>
      <c r="P5">
        <f t="shared" si="2"/>
        <v>0.5</v>
      </c>
      <c r="Q5">
        <v>48</v>
      </c>
    </row>
    <row r="6" spans="1:18" x14ac:dyDescent="0.25">
      <c r="A6" s="118">
        <v>2</v>
      </c>
      <c r="B6">
        <v>16</v>
      </c>
      <c r="C6" s="118">
        <f>SUM(B6:B8)</f>
        <v>55</v>
      </c>
      <c r="D6">
        <f t="shared" si="0"/>
        <v>0.5</v>
      </c>
      <c r="E6" s="118">
        <f>(D6+D7+D8)/3</f>
        <v>0.57291666666666663</v>
      </c>
      <c r="F6">
        <f t="shared" si="1"/>
        <v>0.56997496704570927</v>
      </c>
      <c r="G6" s="118">
        <f>1 - BINOMDIST(B6+B7+B8-1,96,0.5,TRUE)</f>
        <v>9.2142936440182455E-2</v>
      </c>
      <c r="H6" s="42" t="s">
        <v>63</v>
      </c>
      <c r="I6">
        <v>0.45</v>
      </c>
      <c r="J6">
        <v>0.45</v>
      </c>
      <c r="K6">
        <v>0.42499999999999999</v>
      </c>
      <c r="L6">
        <f>AVERAGE(I6:K6)</f>
        <v>0.44166666666666665</v>
      </c>
      <c r="M6" s="9">
        <v>4</v>
      </c>
      <c r="N6" s="9">
        <v>46</v>
      </c>
      <c r="O6" s="9">
        <v>96</v>
      </c>
      <c r="P6">
        <f t="shared" si="2"/>
        <v>0.47916666666666669</v>
      </c>
      <c r="Q6">
        <v>46</v>
      </c>
      <c r="R6">
        <v>9.2142936440182455E-2</v>
      </c>
    </row>
    <row r="7" spans="1:18" x14ac:dyDescent="0.25">
      <c r="A7" s="118"/>
      <c r="B7">
        <v>23</v>
      </c>
      <c r="C7" s="118"/>
      <c r="D7">
        <f t="shared" si="0"/>
        <v>0.71875</v>
      </c>
      <c r="E7" s="118"/>
      <c r="F7" s="1">
        <f t="shared" si="1"/>
        <v>1.0030803503468633E-2</v>
      </c>
      <c r="G7" s="118"/>
      <c r="H7" s="42" t="s">
        <v>64</v>
      </c>
      <c r="I7">
        <v>0.57499999999999996</v>
      </c>
      <c r="J7">
        <v>0.55000000000000004</v>
      </c>
      <c r="K7">
        <v>0.52500000000000002</v>
      </c>
      <c r="L7">
        <f>AVERAGE(I7:K7)</f>
        <v>0.54999999999999993</v>
      </c>
      <c r="M7" s="9">
        <v>5</v>
      </c>
      <c r="N7" s="9">
        <v>52</v>
      </c>
      <c r="O7" s="9">
        <v>96</v>
      </c>
      <c r="P7">
        <f t="shared" si="2"/>
        <v>0.54166666666666663</v>
      </c>
      <c r="Q7">
        <v>52</v>
      </c>
    </row>
    <row r="8" spans="1:18" x14ac:dyDescent="0.25">
      <c r="A8" s="118"/>
      <c r="B8">
        <v>16</v>
      </c>
      <c r="C8" s="118"/>
      <c r="D8">
        <f t="shared" si="0"/>
        <v>0.5</v>
      </c>
      <c r="E8" s="118"/>
      <c r="F8">
        <f t="shared" si="1"/>
        <v>0.56997496704570927</v>
      </c>
      <c r="G8" s="118"/>
      <c r="H8" s="42" t="s">
        <v>65</v>
      </c>
      <c r="I8">
        <v>0.625</v>
      </c>
      <c r="J8">
        <v>0.57499999999999996</v>
      </c>
      <c r="K8">
        <v>0.45</v>
      </c>
      <c r="L8">
        <f>AVERAGE(I8:K8)</f>
        <v>0.54999999999999993</v>
      </c>
      <c r="M8" s="9">
        <v>6</v>
      </c>
      <c r="N8" s="9">
        <v>148</v>
      </c>
      <c r="O8" s="9">
        <v>296</v>
      </c>
      <c r="P8">
        <f t="shared" si="2"/>
        <v>0.5</v>
      </c>
      <c r="Q8">
        <v>58</v>
      </c>
    </row>
    <row r="9" spans="1:18" x14ac:dyDescent="0.25">
      <c r="A9" s="118">
        <v>3</v>
      </c>
      <c r="B9">
        <v>14</v>
      </c>
      <c r="C9" s="118">
        <f>SUM(B9:B11)</f>
        <v>48</v>
      </c>
      <c r="D9">
        <f t="shared" si="0"/>
        <v>0.4375</v>
      </c>
      <c r="E9" s="118">
        <f>(D9+D10+D11)/3</f>
        <v>0.5</v>
      </c>
      <c r="F9">
        <f t="shared" si="1"/>
        <v>0.81145720626227558</v>
      </c>
      <c r="G9" s="118">
        <f>1 - BINOMDIST(B9+B10+B11-1,96,0.5,TRUE)</f>
        <v>0.54061098231773186</v>
      </c>
      <c r="H9" s="42"/>
      <c r="I9">
        <f>AVERAGE(I4:I8)</f>
        <v>0.51500000000000001</v>
      </c>
      <c r="J9">
        <f>AVERAGE(J4:J8)</f>
        <v>0.45</v>
      </c>
      <c r="K9">
        <f>AVERAGE(K4:K8)</f>
        <v>0.48000000000000009</v>
      </c>
      <c r="L9">
        <f>AVERAGE(L4:L8)</f>
        <v>0.48166666666666663</v>
      </c>
      <c r="M9" s="9">
        <v>7</v>
      </c>
      <c r="N9" s="9">
        <v>52</v>
      </c>
      <c r="O9" s="9">
        <v>96</v>
      </c>
      <c r="P9">
        <f t="shared" si="2"/>
        <v>0.54166666666666663</v>
      </c>
      <c r="Q9">
        <v>52</v>
      </c>
      <c r="R9">
        <v>0.54061098231773186</v>
      </c>
    </row>
    <row r="10" spans="1:18" x14ac:dyDescent="0.25">
      <c r="A10" s="118"/>
      <c r="B10">
        <v>20</v>
      </c>
      <c r="C10" s="118"/>
      <c r="D10">
        <f t="shared" si="0"/>
        <v>0.625</v>
      </c>
      <c r="E10" s="118"/>
      <c r="F10">
        <f t="shared" si="1"/>
        <v>0.10766357486136258</v>
      </c>
      <c r="G10" s="118"/>
      <c r="H10" s="42"/>
      <c r="J10" s="9"/>
      <c r="K10" t="s">
        <v>35</v>
      </c>
      <c r="L10">
        <f>_xlfn.STDEV.S(I9:K9)</f>
        <v>3.2532035493238562E-2</v>
      </c>
      <c r="M10" s="9">
        <v>8</v>
      </c>
      <c r="N10" s="9">
        <v>49</v>
      </c>
      <c r="O10" s="9">
        <v>96</v>
      </c>
      <c r="P10">
        <f t="shared" si="2"/>
        <v>0.51041666666666663</v>
      </c>
      <c r="Q10">
        <v>49</v>
      </c>
    </row>
    <row r="11" spans="1:18" x14ac:dyDescent="0.25">
      <c r="A11" s="118"/>
      <c r="B11">
        <v>14</v>
      </c>
      <c r="C11" s="118"/>
      <c r="D11">
        <f t="shared" si="0"/>
        <v>0.4375</v>
      </c>
      <c r="E11" s="118"/>
      <c r="F11">
        <f t="shared" si="1"/>
        <v>0.81145720626227558</v>
      </c>
      <c r="G11" s="118"/>
      <c r="H11" s="42"/>
      <c r="J11" s="9"/>
      <c r="K11" t="s">
        <v>186</v>
      </c>
      <c r="L11">
        <f>L10/SQRT(3)</f>
        <v>1.8782379449307746E-2</v>
      </c>
      <c r="M11" s="9">
        <v>9</v>
      </c>
      <c r="N11" s="9">
        <v>149</v>
      </c>
      <c r="O11" s="9">
        <v>296</v>
      </c>
      <c r="P11">
        <f t="shared" si="2"/>
        <v>0.5033783783783784</v>
      </c>
      <c r="Q11">
        <v>53</v>
      </c>
    </row>
    <row r="12" spans="1:18" x14ac:dyDescent="0.25">
      <c r="A12" s="118">
        <v>4</v>
      </c>
      <c r="B12">
        <v>15</v>
      </c>
      <c r="C12" s="118">
        <f>SUM(B12:B14)</f>
        <v>46</v>
      </c>
      <c r="D12">
        <f t="shared" si="0"/>
        <v>0.46875</v>
      </c>
      <c r="E12" s="118">
        <f>(D12+D13+D14)/3</f>
        <v>0.47916666666666669</v>
      </c>
      <c r="F12">
        <f t="shared" si="1"/>
        <v>0.70169255207292724</v>
      </c>
      <c r="G12" s="118">
        <f>1 - BINOMDIST(B12+B13+B14-1,96,0.5,TRUE)</f>
        <v>0.69496586694741136</v>
      </c>
      <c r="H12" s="42"/>
      <c r="J12" s="9"/>
      <c r="K12" t="s">
        <v>44</v>
      </c>
      <c r="L12">
        <f>0.481667-0.5</f>
        <v>-1.8332999999999988E-2</v>
      </c>
      <c r="M12" s="9">
        <v>10</v>
      </c>
      <c r="N12" s="9">
        <v>47</v>
      </c>
      <c r="O12" s="9">
        <v>96</v>
      </c>
      <c r="P12">
        <f t="shared" si="2"/>
        <v>0.48958333333333331</v>
      </c>
      <c r="Q12">
        <v>47</v>
      </c>
      <c r="R12">
        <v>0.69496586694741136</v>
      </c>
    </row>
    <row r="13" spans="1:18" x14ac:dyDescent="0.25">
      <c r="A13" s="118"/>
      <c r="B13">
        <v>15</v>
      </c>
      <c r="C13" s="118"/>
      <c r="D13">
        <f t="shared" si="0"/>
        <v>0.46875</v>
      </c>
      <c r="E13" s="118"/>
      <c r="F13">
        <f t="shared" si="1"/>
        <v>0.70169255207292724</v>
      </c>
      <c r="G13" s="118"/>
      <c r="H13" s="42" t="s">
        <v>188</v>
      </c>
      <c r="I13">
        <f t="shared" ref="I13:K17" si="3">I4*40</f>
        <v>19</v>
      </c>
      <c r="J13">
        <f t="shared" si="3"/>
        <v>15</v>
      </c>
      <c r="K13">
        <f t="shared" si="3"/>
        <v>21</v>
      </c>
      <c r="M13" s="9">
        <v>11</v>
      </c>
      <c r="N13" s="9">
        <v>49</v>
      </c>
      <c r="O13" s="9">
        <v>96</v>
      </c>
      <c r="P13">
        <f t="shared" si="2"/>
        <v>0.51041666666666663</v>
      </c>
      <c r="Q13">
        <v>49</v>
      </c>
    </row>
    <row r="14" spans="1:18" x14ac:dyDescent="0.25">
      <c r="A14" s="118"/>
      <c r="B14">
        <v>16</v>
      </c>
      <c r="C14" s="118"/>
      <c r="D14">
        <f t="shared" si="0"/>
        <v>0.5</v>
      </c>
      <c r="E14" s="118"/>
      <c r="F14">
        <f t="shared" si="1"/>
        <v>0.56997496704570927</v>
      </c>
      <c r="G14" s="118"/>
      <c r="H14" s="42"/>
      <c r="I14">
        <f t="shared" si="3"/>
        <v>18</v>
      </c>
      <c r="J14">
        <f t="shared" si="3"/>
        <v>12</v>
      </c>
      <c r="K14">
        <f t="shared" si="3"/>
        <v>19</v>
      </c>
      <c r="M14" s="9">
        <v>12</v>
      </c>
      <c r="N14" s="9">
        <v>50</v>
      </c>
      <c r="O14" s="9">
        <v>96</v>
      </c>
      <c r="P14">
        <f t="shared" si="2"/>
        <v>0.52083333333333337</v>
      </c>
      <c r="Q14">
        <v>50</v>
      </c>
    </row>
    <row r="15" spans="1:18" x14ac:dyDescent="0.25">
      <c r="A15" s="118">
        <v>5</v>
      </c>
      <c r="B15">
        <v>19</v>
      </c>
      <c r="C15" s="118">
        <f>SUM(B15:B17)</f>
        <v>52</v>
      </c>
      <c r="D15">
        <f t="shared" si="0"/>
        <v>0.59375</v>
      </c>
      <c r="E15" s="118">
        <f>(D15+D16+D17)/3</f>
        <v>0.54166666666666663</v>
      </c>
      <c r="F15">
        <f t="shared" si="1"/>
        <v>0.18854279373772442</v>
      </c>
      <c r="G15" s="118">
        <f>1 - BINOMDIST(B15+B16+B17-1,96,0.5,TRUE)</f>
        <v>0.23757602499328623</v>
      </c>
      <c r="H15" s="42"/>
      <c r="I15">
        <f t="shared" si="3"/>
        <v>18</v>
      </c>
      <c r="J15">
        <f t="shared" si="3"/>
        <v>18</v>
      </c>
      <c r="K15">
        <f t="shared" si="3"/>
        <v>17</v>
      </c>
      <c r="M15" s="9">
        <v>13</v>
      </c>
      <c r="N15" s="9">
        <v>49</v>
      </c>
      <c r="O15" s="9">
        <v>96</v>
      </c>
      <c r="P15">
        <f t="shared" si="2"/>
        <v>0.51041666666666663</v>
      </c>
      <c r="Q15">
        <v>49</v>
      </c>
      <c r="R15">
        <v>0.23757602499328623</v>
      </c>
    </row>
    <row r="16" spans="1:18" x14ac:dyDescent="0.25">
      <c r="A16" s="118"/>
      <c r="B16">
        <v>14</v>
      </c>
      <c r="C16" s="118"/>
      <c r="D16">
        <f t="shared" si="0"/>
        <v>0.4375</v>
      </c>
      <c r="E16" s="118"/>
      <c r="F16">
        <f t="shared" si="1"/>
        <v>0.81145720626227558</v>
      </c>
      <c r="G16" s="118"/>
      <c r="H16" s="42"/>
      <c r="I16">
        <f t="shared" si="3"/>
        <v>23</v>
      </c>
      <c r="J16">
        <f t="shared" si="3"/>
        <v>22</v>
      </c>
      <c r="K16">
        <f t="shared" si="3"/>
        <v>21</v>
      </c>
      <c r="M16" s="9"/>
      <c r="N16">
        <f>SUM(N3:N15)</f>
        <v>944</v>
      </c>
      <c r="O16">
        <f>SUM(O3:O15)</f>
        <v>1848</v>
      </c>
      <c r="P16">
        <f>AVERAGE(P3:P15)</f>
        <v>0.51007016632016622</v>
      </c>
    </row>
    <row r="17" spans="1:18" x14ac:dyDescent="0.25">
      <c r="A17" s="118"/>
      <c r="B17">
        <v>19</v>
      </c>
      <c r="C17" s="118"/>
      <c r="D17">
        <f t="shared" si="0"/>
        <v>0.59375</v>
      </c>
      <c r="E17" s="118"/>
      <c r="F17">
        <f t="shared" si="1"/>
        <v>0.18854279373772442</v>
      </c>
      <c r="G17" s="118"/>
      <c r="H17" s="42"/>
      <c r="I17">
        <f t="shared" si="3"/>
        <v>25</v>
      </c>
      <c r="J17">
        <f t="shared" si="3"/>
        <v>23</v>
      </c>
      <c r="K17">
        <f t="shared" si="3"/>
        <v>18</v>
      </c>
      <c r="M17" s="9"/>
      <c r="N17" s="9"/>
      <c r="P17">
        <f>_xlfn.STDEV.S(P3:P15)</f>
        <v>1.9826881459505483E-2</v>
      </c>
    </row>
    <row r="18" spans="1:18" x14ac:dyDescent="0.25">
      <c r="A18" s="118">
        <v>6</v>
      </c>
      <c r="B18">
        <v>20</v>
      </c>
      <c r="C18" s="118">
        <f>SUM(B18:B20)</f>
        <v>58</v>
      </c>
      <c r="D18">
        <f t="shared" si="0"/>
        <v>0.625</v>
      </c>
      <c r="E18" s="118">
        <f>(D18+D19+D20)/3</f>
        <v>0.60416666666666663</v>
      </c>
      <c r="F18">
        <f t="shared" si="1"/>
        <v>0.10766357486136258</v>
      </c>
      <c r="G18" s="122">
        <f>1 - BINOMDIST(B18+B19+B20-1,96,0.5,TRUE)</f>
        <v>2.5955261074419256E-2</v>
      </c>
      <c r="I18">
        <f>SUM(I13:I17)</f>
        <v>103</v>
      </c>
      <c r="J18">
        <f>SUM(J13:J17)</f>
        <v>90</v>
      </c>
      <c r="K18">
        <f>SUM(K13:K17)</f>
        <v>96</v>
      </c>
      <c r="R18">
        <v>2.5955261074419256E-2</v>
      </c>
    </row>
    <row r="19" spans="1:18" x14ac:dyDescent="0.25">
      <c r="A19" s="118"/>
      <c r="B19">
        <v>18</v>
      </c>
      <c r="C19" s="118"/>
      <c r="D19">
        <f t="shared" si="0"/>
        <v>0.5625</v>
      </c>
      <c r="E19" s="118"/>
      <c r="F19">
        <f t="shared" si="1"/>
        <v>0.29830744792707276</v>
      </c>
      <c r="G19" s="122"/>
      <c r="I19" t="s">
        <v>0</v>
      </c>
      <c r="J19">
        <f>SUM(I13:K17)</f>
        <v>289</v>
      </c>
      <c r="K19">
        <v>600</v>
      </c>
    </row>
    <row r="20" spans="1:18" x14ac:dyDescent="0.25">
      <c r="A20" s="118"/>
      <c r="B20">
        <v>20</v>
      </c>
      <c r="C20" s="118"/>
      <c r="D20">
        <f t="shared" si="0"/>
        <v>0.625</v>
      </c>
      <c r="E20" s="118"/>
      <c r="F20">
        <f t="shared" si="1"/>
        <v>0.10766357486136258</v>
      </c>
      <c r="G20" s="122"/>
    </row>
    <row r="21" spans="1:18" x14ac:dyDescent="0.25">
      <c r="A21" s="118">
        <v>7</v>
      </c>
      <c r="B21">
        <v>21</v>
      </c>
      <c r="C21" s="118">
        <f>SUM(B21:B23)</f>
        <v>52</v>
      </c>
      <c r="D21">
        <f t="shared" si="0"/>
        <v>0.65625</v>
      </c>
      <c r="E21" s="118">
        <f>(D21+D22+D23)/3</f>
        <v>0.54166666666666663</v>
      </c>
      <c r="F21">
        <f t="shared" si="1"/>
        <v>5.5092082591727376E-2</v>
      </c>
      <c r="G21" s="118">
        <f>1 - BINOMDIST(B21+B22+B23-1,96,0.5,TRUE)</f>
        <v>0.23757602499328623</v>
      </c>
      <c r="R21">
        <v>0.23757602499328623</v>
      </c>
    </row>
    <row r="22" spans="1:18" x14ac:dyDescent="0.25">
      <c r="A22" s="118"/>
      <c r="B22">
        <v>17</v>
      </c>
      <c r="C22" s="118"/>
      <c r="D22">
        <f t="shared" si="0"/>
        <v>0.53125</v>
      </c>
      <c r="E22" s="118"/>
      <c r="F22">
        <f t="shared" si="1"/>
        <v>0.43002503295429073</v>
      </c>
      <c r="G22" s="118"/>
    </row>
    <row r="23" spans="1:18" x14ac:dyDescent="0.25">
      <c r="A23" s="118"/>
      <c r="B23">
        <v>14</v>
      </c>
      <c r="C23" s="118"/>
      <c r="D23">
        <f t="shared" si="0"/>
        <v>0.4375</v>
      </c>
      <c r="E23" s="118"/>
      <c r="F23">
        <f t="shared" si="1"/>
        <v>0.81145720626227558</v>
      </c>
      <c r="G23" s="118"/>
    </row>
    <row r="24" spans="1:18" x14ac:dyDescent="0.25">
      <c r="A24" s="118">
        <v>8</v>
      </c>
      <c r="B24">
        <v>19</v>
      </c>
      <c r="C24" s="118">
        <f>SUM(B24:B26)</f>
        <v>49</v>
      </c>
      <c r="D24">
        <f t="shared" si="0"/>
        <v>0.59375</v>
      </c>
      <c r="E24" s="118">
        <f>(D24+D25+D26)/3</f>
        <v>0.51041666666666663</v>
      </c>
      <c r="F24">
        <f t="shared" si="1"/>
        <v>0.18854279373772442</v>
      </c>
      <c r="G24" s="118">
        <f>1 - BINOMDIST(B24+B25+B26-1,96,0.5,TRUE)</f>
        <v>0.45938901768226814</v>
      </c>
      <c r="R24">
        <v>0.45938901768226814</v>
      </c>
    </row>
    <row r="25" spans="1:18" x14ac:dyDescent="0.25">
      <c r="A25" s="118"/>
      <c r="B25">
        <v>13</v>
      </c>
      <c r="C25" s="118"/>
      <c r="D25">
        <f t="shared" si="0"/>
        <v>0.40625</v>
      </c>
      <c r="E25" s="118"/>
      <c r="F25">
        <f t="shared" si="1"/>
        <v>0.89233642513863742</v>
      </c>
      <c r="G25" s="118"/>
    </row>
    <row r="26" spans="1:18" x14ac:dyDescent="0.25">
      <c r="A26" s="118"/>
      <c r="B26">
        <v>17</v>
      </c>
      <c r="C26" s="118"/>
      <c r="D26">
        <f t="shared" si="0"/>
        <v>0.53125</v>
      </c>
      <c r="E26" s="118"/>
      <c r="F26">
        <f t="shared" si="1"/>
        <v>0.43002503295429073</v>
      </c>
      <c r="G26" s="118"/>
    </row>
    <row r="27" spans="1:18" x14ac:dyDescent="0.25">
      <c r="A27" s="118">
        <v>9</v>
      </c>
      <c r="B27">
        <v>15</v>
      </c>
      <c r="C27" s="118">
        <f>SUM(B27:B29)</f>
        <v>53</v>
      </c>
      <c r="D27">
        <f t="shared" si="0"/>
        <v>0.46875</v>
      </c>
      <c r="E27" s="118">
        <f>(D27+D28+D29)/3</f>
        <v>0.55208333333333337</v>
      </c>
      <c r="F27">
        <f t="shared" si="1"/>
        <v>0.70169255207292724</v>
      </c>
      <c r="G27" s="118">
        <f>1 - BINOMDIST(B27+B28+B29-1,96,0.5,TRUE)</f>
        <v>0.17919881609581312</v>
      </c>
      <c r="R27">
        <v>0.17919881609581312</v>
      </c>
    </row>
    <row r="28" spans="1:18" x14ac:dyDescent="0.25">
      <c r="A28" s="118"/>
      <c r="B28">
        <v>24</v>
      </c>
      <c r="C28" s="118"/>
      <c r="D28">
        <f t="shared" si="0"/>
        <v>0.75</v>
      </c>
      <c r="E28" s="118"/>
      <c r="F28" s="1">
        <f t="shared" si="1"/>
        <v>3.5001833457499743E-3</v>
      </c>
      <c r="G28" s="118"/>
    </row>
    <row r="29" spans="1:18" x14ac:dyDescent="0.25">
      <c r="A29" s="118"/>
      <c r="B29">
        <v>14</v>
      </c>
      <c r="C29" s="118"/>
      <c r="D29">
        <f t="shared" si="0"/>
        <v>0.4375</v>
      </c>
      <c r="E29" s="118"/>
      <c r="F29">
        <f t="shared" si="1"/>
        <v>0.81145720626227558</v>
      </c>
      <c r="G29" s="118"/>
    </row>
    <row r="30" spans="1:18" x14ac:dyDescent="0.25">
      <c r="A30" s="118">
        <v>10</v>
      </c>
      <c r="B30">
        <v>12</v>
      </c>
      <c r="C30" s="118">
        <f>SUM(B30:B32)</f>
        <v>47</v>
      </c>
      <c r="D30">
        <f t="shared" si="0"/>
        <v>0.375</v>
      </c>
      <c r="E30" s="118">
        <f>(D30+D31+D32)/3</f>
        <v>0.48958333333333331</v>
      </c>
      <c r="F30">
        <f t="shared" si="1"/>
        <v>0.94490791740827262</v>
      </c>
      <c r="G30" s="118">
        <f>1 - BINOMDIST(B30+B31+B32-1,96,0.5,TRUE)</f>
        <v>0.62017535583818562</v>
      </c>
      <c r="R30">
        <v>0.62017535583818562</v>
      </c>
    </row>
    <row r="31" spans="1:18" x14ac:dyDescent="0.25">
      <c r="A31" s="118"/>
      <c r="B31">
        <v>20</v>
      </c>
      <c r="C31" s="118"/>
      <c r="D31">
        <f t="shared" si="0"/>
        <v>0.625</v>
      </c>
      <c r="E31" s="118"/>
      <c r="F31">
        <f t="shared" si="1"/>
        <v>0.10766357486136258</v>
      </c>
      <c r="G31" s="118"/>
    </row>
    <row r="32" spans="1:18" x14ac:dyDescent="0.25">
      <c r="A32" s="118"/>
      <c r="B32">
        <v>15</v>
      </c>
      <c r="C32" s="118"/>
      <c r="D32">
        <f t="shared" si="0"/>
        <v>0.46875</v>
      </c>
      <c r="E32" s="118"/>
      <c r="F32">
        <f t="shared" si="1"/>
        <v>0.70169255207292724</v>
      </c>
      <c r="G32" s="118"/>
    </row>
    <row r="33" spans="1:18" x14ac:dyDescent="0.25">
      <c r="A33" s="118">
        <v>11</v>
      </c>
      <c r="B33">
        <v>18</v>
      </c>
      <c r="C33" s="118">
        <f>SUM(B33:B35)</f>
        <v>49</v>
      </c>
      <c r="D33">
        <f t="shared" si="0"/>
        <v>0.5625</v>
      </c>
      <c r="E33" s="118">
        <f>(D33+D34+D35)/3</f>
        <v>0.51041666666666663</v>
      </c>
      <c r="F33">
        <f t="shared" si="1"/>
        <v>0.29830744792707276</v>
      </c>
      <c r="G33" s="118">
        <f>1 - BINOMDIST(B33+B34+B35-1,96,0.5,TRUE)</f>
        <v>0.45938901768226814</v>
      </c>
      <c r="R33">
        <v>0.45938901768226814</v>
      </c>
    </row>
    <row r="34" spans="1:18" x14ac:dyDescent="0.25">
      <c r="A34" s="118"/>
      <c r="B34">
        <v>16</v>
      </c>
      <c r="C34" s="118"/>
      <c r="D34">
        <f t="shared" si="0"/>
        <v>0.5</v>
      </c>
      <c r="E34" s="118"/>
      <c r="F34">
        <f t="shared" si="1"/>
        <v>0.56997496704570927</v>
      </c>
      <c r="G34" s="118"/>
    </row>
    <row r="35" spans="1:18" x14ac:dyDescent="0.25">
      <c r="A35" s="118"/>
      <c r="B35">
        <v>15</v>
      </c>
      <c r="C35" s="118"/>
      <c r="D35">
        <f t="shared" si="0"/>
        <v>0.46875</v>
      </c>
      <c r="E35" s="118"/>
      <c r="F35">
        <f t="shared" si="1"/>
        <v>0.70169255207292724</v>
      </c>
      <c r="G35" s="118"/>
    </row>
    <row r="36" spans="1:18" x14ac:dyDescent="0.25">
      <c r="A36" s="118">
        <v>12</v>
      </c>
      <c r="B36">
        <v>15</v>
      </c>
      <c r="C36" s="118">
        <f>SUM(B36:B38)</f>
        <v>50</v>
      </c>
      <c r="D36">
        <f t="shared" si="0"/>
        <v>0.46875</v>
      </c>
      <c r="E36" s="118">
        <f>(D36+D37+D38)/3</f>
        <v>0.52083333333333337</v>
      </c>
      <c r="F36">
        <f t="shared" si="1"/>
        <v>0.70169255207292724</v>
      </c>
      <c r="G36" s="118">
        <f>1 - BINOMDIST(B36+B37+B38-1,96,0.5,TRUE)</f>
        <v>0.37982464416181438</v>
      </c>
      <c r="R36">
        <v>0.37982464416181438</v>
      </c>
    </row>
    <row r="37" spans="1:18" x14ac:dyDescent="0.25">
      <c r="A37" s="118"/>
      <c r="B37">
        <v>18</v>
      </c>
      <c r="C37" s="118"/>
      <c r="D37">
        <f t="shared" si="0"/>
        <v>0.5625</v>
      </c>
      <c r="E37" s="118"/>
      <c r="F37">
        <f t="shared" si="1"/>
        <v>0.29830744792707276</v>
      </c>
      <c r="G37" s="118"/>
    </row>
    <row r="38" spans="1:18" x14ac:dyDescent="0.25">
      <c r="A38" s="118"/>
      <c r="B38">
        <v>17</v>
      </c>
      <c r="C38" s="118"/>
      <c r="D38">
        <f t="shared" si="0"/>
        <v>0.53125</v>
      </c>
      <c r="E38" s="118"/>
      <c r="F38">
        <f t="shared" si="1"/>
        <v>0.43002503295429073</v>
      </c>
      <c r="G38" s="118"/>
    </row>
    <row r="39" spans="1:18" x14ac:dyDescent="0.25">
      <c r="A39" s="118">
        <v>13</v>
      </c>
      <c r="B39">
        <v>20</v>
      </c>
      <c r="C39" s="118">
        <f>SUM(B39:B41)</f>
        <v>49</v>
      </c>
      <c r="D39">
        <f t="shared" si="0"/>
        <v>0.625</v>
      </c>
      <c r="E39" s="118">
        <f>(D39+D40+D41)/3</f>
        <v>0.51041666666666663</v>
      </c>
      <c r="F39">
        <f t="shared" si="1"/>
        <v>0.10766357486136258</v>
      </c>
      <c r="G39" s="118">
        <f>1 - BINOMDIST(B39+B40+B41-1,96,0.5,TRUE)</f>
        <v>0.45938901768226814</v>
      </c>
      <c r="R39">
        <v>0.45938901768226814</v>
      </c>
    </row>
    <row r="40" spans="1:18" x14ac:dyDescent="0.25">
      <c r="A40" s="118"/>
      <c r="B40">
        <v>18</v>
      </c>
      <c r="C40" s="118"/>
      <c r="D40">
        <f t="shared" si="0"/>
        <v>0.5625</v>
      </c>
      <c r="E40" s="118"/>
      <c r="F40">
        <f t="shared" si="1"/>
        <v>0.29830744792707276</v>
      </c>
      <c r="G40" s="118"/>
    </row>
    <row r="41" spans="1:18" x14ac:dyDescent="0.25">
      <c r="A41" s="118"/>
      <c r="B41">
        <v>11</v>
      </c>
      <c r="C41" s="118"/>
      <c r="D41">
        <f t="shared" si="0"/>
        <v>0.34375</v>
      </c>
      <c r="E41" s="118"/>
      <c r="F41">
        <f t="shared" si="1"/>
        <v>0.97494877013377845</v>
      </c>
      <c r="G41" s="118"/>
    </row>
    <row r="42" spans="1:18" x14ac:dyDescent="0.25">
      <c r="A42" s="9" t="s">
        <v>44</v>
      </c>
      <c r="B42">
        <f>AVERAGE(B3:B41)</f>
        <v>16.794871794871796</v>
      </c>
      <c r="D42">
        <f>AVERAGE(D3:D41)</f>
        <v>0.52483974358974361</v>
      </c>
      <c r="E42" s="10">
        <f>AVERAGE(E3:E41)</f>
        <v>0.5248397435897435</v>
      </c>
    </row>
    <row r="43" spans="1:18" x14ac:dyDescent="0.25">
      <c r="A43" s="9" t="s">
        <v>35</v>
      </c>
      <c r="E43" s="9">
        <f>STDEV(E3:E41)</f>
        <v>3.6219071440884362E-2</v>
      </c>
    </row>
    <row r="44" spans="1:18" x14ac:dyDescent="0.25">
      <c r="A44" s="9" t="s">
        <v>45</v>
      </c>
      <c r="E44" s="9">
        <f>E43/SQRT(13)</f>
        <v>1.0045363017677075E-2</v>
      </c>
    </row>
    <row r="45" spans="1:18" x14ac:dyDescent="0.25">
      <c r="A45" s="9" t="s">
        <v>47</v>
      </c>
      <c r="B45">
        <f>SUM(B3:B41)</f>
        <v>655</v>
      </c>
      <c r="C45">
        <f>SUM(C3:C41)</f>
        <v>655</v>
      </c>
      <c r="D45">
        <f>96*13</f>
        <v>1248</v>
      </c>
    </row>
  </sheetData>
  <mergeCells count="52">
    <mergeCell ref="A3:A5"/>
    <mergeCell ref="A6:A8"/>
    <mergeCell ref="A9:A11"/>
    <mergeCell ref="E3:E5"/>
    <mergeCell ref="E6:E8"/>
    <mergeCell ref="E9:E11"/>
    <mergeCell ref="A27:A29"/>
    <mergeCell ref="E12:E14"/>
    <mergeCell ref="E15:E17"/>
    <mergeCell ref="A12:A14"/>
    <mergeCell ref="A15:A17"/>
    <mergeCell ref="E18:E20"/>
    <mergeCell ref="E21:E23"/>
    <mergeCell ref="E24:E26"/>
    <mergeCell ref="E27:E29"/>
    <mergeCell ref="A39:A41"/>
    <mergeCell ref="A36:A38"/>
    <mergeCell ref="E33:E35"/>
    <mergeCell ref="E36:E38"/>
    <mergeCell ref="E39:E41"/>
    <mergeCell ref="G33:G35"/>
    <mergeCell ref="A30:A32"/>
    <mergeCell ref="A33:A35"/>
    <mergeCell ref="G6:G8"/>
    <mergeCell ref="G9:G11"/>
    <mergeCell ref="G12:G14"/>
    <mergeCell ref="G15:G17"/>
    <mergeCell ref="G18:G20"/>
    <mergeCell ref="G30:G32"/>
    <mergeCell ref="E30:E32"/>
    <mergeCell ref="G21:G23"/>
    <mergeCell ref="G24:G26"/>
    <mergeCell ref="G27:G29"/>
    <mergeCell ref="A18:A20"/>
    <mergeCell ref="A21:A23"/>
    <mergeCell ref="A24:A26"/>
    <mergeCell ref="G36:G38"/>
    <mergeCell ref="G39:G41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G3:G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I21" sqref="I21"/>
    </sheetView>
  </sheetViews>
  <sheetFormatPr defaultRowHeight="15" x14ac:dyDescent="0.25"/>
  <sheetData>
    <row r="1" spans="1:18" x14ac:dyDescent="0.25">
      <c r="C1" t="s">
        <v>2</v>
      </c>
      <c r="E1" t="s">
        <v>1</v>
      </c>
      <c r="I1" t="s">
        <v>47</v>
      </c>
      <c r="L1" t="s">
        <v>70</v>
      </c>
      <c r="M1" t="s">
        <v>2</v>
      </c>
      <c r="N1" t="s">
        <v>1</v>
      </c>
      <c r="O1" t="s">
        <v>47</v>
      </c>
    </row>
    <row r="2" spans="1:18" x14ac:dyDescent="0.25">
      <c r="A2" s="118">
        <v>1</v>
      </c>
      <c r="B2" s="11">
        <f t="shared" ref="B2:B7" si="0">C2*24*0.01</f>
        <v>12</v>
      </c>
      <c r="C2">
        <v>50</v>
      </c>
      <c r="D2">
        <v>13</v>
      </c>
      <c r="E2">
        <v>54.17</v>
      </c>
      <c r="F2">
        <f t="shared" ref="F2:F19" si="1">B2+D2</f>
        <v>25</v>
      </c>
      <c r="G2">
        <f t="shared" ref="G2:G19" si="2">F2/48</f>
        <v>0.52083333333333337</v>
      </c>
      <c r="H2">
        <f>SUM(B2:B4,D2:D4)</f>
        <v>71</v>
      </c>
      <c r="I2" s="9">
        <f>H2/144</f>
        <v>0.49305555555555558</v>
      </c>
      <c r="L2" t="s">
        <v>71</v>
      </c>
      <c r="M2">
        <f>AVERAGE(C2,C5,C8,C11,C14,C17)</f>
        <v>46.604722222222222</v>
      </c>
      <c r="N2">
        <f>AVERAGE(E2,E5,E8,E11,E14,E17)</f>
        <v>50</v>
      </c>
      <c r="O2">
        <f>AVERAGE(G2,G5,G8,G11,G14,G17)</f>
        <v>0.52083333333333337</v>
      </c>
    </row>
    <row r="3" spans="1:18" x14ac:dyDescent="0.25">
      <c r="A3" s="118"/>
      <c r="B3" s="37">
        <f t="shared" si="0"/>
        <v>12</v>
      </c>
      <c r="C3">
        <v>50</v>
      </c>
      <c r="D3">
        <v>7</v>
      </c>
      <c r="E3">
        <v>29.17</v>
      </c>
      <c r="F3">
        <f t="shared" si="1"/>
        <v>19</v>
      </c>
      <c r="G3">
        <f t="shared" si="2"/>
        <v>0.39583333333333331</v>
      </c>
      <c r="I3" s="9"/>
      <c r="L3" t="s">
        <v>72</v>
      </c>
      <c r="M3">
        <f>AVERAGE(C3,C6,C9,C12,C15,C18)</f>
        <v>45.833333333333336</v>
      </c>
      <c r="N3">
        <f>AVERAGE(E3,E6,E9,E12,E15,E18)</f>
        <v>41.668333333333329</v>
      </c>
      <c r="O3">
        <f>AVERAGE(G3,G6,G9,G12,G15,G18)</f>
        <v>0.43749999999999994</v>
      </c>
    </row>
    <row r="4" spans="1:18" x14ac:dyDescent="0.25">
      <c r="A4" s="118"/>
      <c r="B4" s="37">
        <f t="shared" si="0"/>
        <v>15</v>
      </c>
      <c r="C4">
        <v>62.5</v>
      </c>
      <c r="D4">
        <v>12</v>
      </c>
      <c r="E4">
        <v>50</v>
      </c>
      <c r="F4">
        <f t="shared" si="1"/>
        <v>27</v>
      </c>
      <c r="G4">
        <f t="shared" si="2"/>
        <v>0.5625</v>
      </c>
      <c r="I4" s="9"/>
      <c r="L4" t="s">
        <v>73</v>
      </c>
      <c r="M4">
        <f>AVERAGE(C4,C7,C10,C13,C16,C19)</f>
        <v>48.611666666666672</v>
      </c>
      <c r="N4">
        <f>AVERAGE(E4,E7,E10,E13,E16,E19)</f>
        <v>50.001666666666665</v>
      </c>
      <c r="O4">
        <f>AVERAGE(G4,G7,G10,G13,G16,G19)</f>
        <v>0.49305555555555564</v>
      </c>
      <c r="R4">
        <v>0.125</v>
      </c>
    </row>
    <row r="5" spans="1:18" x14ac:dyDescent="0.25">
      <c r="A5" s="118">
        <v>2</v>
      </c>
      <c r="B5" s="37">
        <f t="shared" si="0"/>
        <v>12</v>
      </c>
      <c r="C5">
        <v>50</v>
      </c>
      <c r="D5">
        <v>11</v>
      </c>
      <c r="E5">
        <v>45.83</v>
      </c>
      <c r="F5">
        <f t="shared" si="1"/>
        <v>23</v>
      </c>
      <c r="G5">
        <f t="shared" si="2"/>
        <v>0.47916666666666669</v>
      </c>
      <c r="H5">
        <f>SUM(B5:B7,D5:D7)</f>
        <v>75</v>
      </c>
      <c r="I5" s="9">
        <f>H5/144</f>
        <v>0.52083333333333337</v>
      </c>
      <c r="R5">
        <v>0.25</v>
      </c>
    </row>
    <row r="6" spans="1:18" x14ac:dyDescent="0.25">
      <c r="A6" s="118"/>
      <c r="B6" s="37">
        <f t="shared" si="0"/>
        <v>12</v>
      </c>
      <c r="C6">
        <v>50</v>
      </c>
      <c r="D6">
        <v>9</v>
      </c>
      <c r="E6">
        <v>37.5</v>
      </c>
      <c r="F6">
        <f t="shared" si="1"/>
        <v>21</v>
      </c>
      <c r="G6">
        <f t="shared" si="2"/>
        <v>0.4375</v>
      </c>
      <c r="I6" s="9"/>
      <c r="R6">
        <v>0.375</v>
      </c>
    </row>
    <row r="7" spans="1:18" x14ac:dyDescent="0.25">
      <c r="A7" s="118"/>
      <c r="B7" s="37">
        <f t="shared" si="0"/>
        <v>15</v>
      </c>
      <c r="C7">
        <v>62.5</v>
      </c>
      <c r="D7">
        <v>16</v>
      </c>
      <c r="E7">
        <v>66.67</v>
      </c>
      <c r="F7">
        <f t="shared" si="1"/>
        <v>31</v>
      </c>
      <c r="G7">
        <f t="shared" si="2"/>
        <v>0.64583333333333337</v>
      </c>
      <c r="I7" s="9"/>
      <c r="R7">
        <v>0.5</v>
      </c>
    </row>
    <row r="8" spans="1:18" x14ac:dyDescent="0.25">
      <c r="A8" s="118">
        <v>3</v>
      </c>
      <c r="B8" s="11">
        <v>11</v>
      </c>
      <c r="C8">
        <f>11/24</f>
        <v>0.45833333333333331</v>
      </c>
      <c r="D8">
        <v>9</v>
      </c>
      <c r="E8">
        <v>37.5</v>
      </c>
      <c r="F8">
        <f t="shared" si="1"/>
        <v>20</v>
      </c>
      <c r="G8">
        <f t="shared" si="2"/>
        <v>0.41666666666666669</v>
      </c>
      <c r="H8">
        <f>SUM(B8:B10,D8:D10)</f>
        <v>64</v>
      </c>
      <c r="I8" s="9">
        <f>H8/144</f>
        <v>0.44444444444444442</v>
      </c>
      <c r="J8">
        <v>29.17</v>
      </c>
      <c r="R8">
        <v>0.625</v>
      </c>
    </row>
    <row r="9" spans="1:18" x14ac:dyDescent="0.25">
      <c r="A9" s="118"/>
      <c r="B9" s="11">
        <v>9</v>
      </c>
      <c r="C9">
        <v>37.5</v>
      </c>
      <c r="D9">
        <v>13</v>
      </c>
      <c r="E9">
        <v>54.17</v>
      </c>
      <c r="F9">
        <f t="shared" si="1"/>
        <v>22</v>
      </c>
      <c r="G9">
        <f t="shared" si="2"/>
        <v>0.45833333333333331</v>
      </c>
      <c r="I9" s="9"/>
      <c r="J9">
        <v>33.33</v>
      </c>
    </row>
    <row r="10" spans="1:18" x14ac:dyDescent="0.25">
      <c r="A10" s="118"/>
      <c r="B10" s="11">
        <v>12</v>
      </c>
      <c r="C10">
        <v>50</v>
      </c>
      <c r="D10">
        <v>10</v>
      </c>
      <c r="E10">
        <v>41.67</v>
      </c>
      <c r="F10">
        <f t="shared" si="1"/>
        <v>22</v>
      </c>
      <c r="G10">
        <f t="shared" si="2"/>
        <v>0.45833333333333331</v>
      </c>
      <c r="I10" s="9"/>
      <c r="J10">
        <v>37.5</v>
      </c>
    </row>
    <row r="11" spans="1:18" x14ac:dyDescent="0.25">
      <c r="A11" s="118">
        <v>4</v>
      </c>
      <c r="B11" s="11">
        <v>14</v>
      </c>
      <c r="C11">
        <v>58.33</v>
      </c>
      <c r="D11">
        <v>12</v>
      </c>
      <c r="E11">
        <v>50</v>
      </c>
      <c r="F11">
        <f t="shared" si="1"/>
        <v>26</v>
      </c>
      <c r="G11">
        <f t="shared" si="2"/>
        <v>0.54166666666666663</v>
      </c>
      <c r="H11">
        <f>SUM(B11:B13,D11:D13)</f>
        <v>65</v>
      </c>
      <c r="I11" s="9">
        <f>H11/144</f>
        <v>0.4513888888888889</v>
      </c>
      <c r="J11">
        <v>41.67</v>
      </c>
    </row>
    <row r="12" spans="1:18" x14ac:dyDescent="0.25">
      <c r="A12" s="118"/>
      <c r="B12" s="11">
        <v>11</v>
      </c>
      <c r="C12">
        <v>45.83</v>
      </c>
      <c r="D12">
        <v>7</v>
      </c>
      <c r="E12">
        <v>29.17</v>
      </c>
      <c r="F12">
        <f t="shared" si="1"/>
        <v>18</v>
      </c>
      <c r="G12">
        <f t="shared" si="2"/>
        <v>0.375</v>
      </c>
      <c r="I12" s="9"/>
      <c r="J12">
        <v>45.83</v>
      </c>
    </row>
    <row r="13" spans="1:18" x14ac:dyDescent="0.25">
      <c r="A13" s="118"/>
      <c r="B13" s="11">
        <v>8</v>
      </c>
      <c r="C13">
        <v>33.33</v>
      </c>
      <c r="D13">
        <v>13</v>
      </c>
      <c r="E13">
        <v>54.17</v>
      </c>
      <c r="F13">
        <f t="shared" si="1"/>
        <v>21</v>
      </c>
      <c r="G13">
        <f t="shared" si="2"/>
        <v>0.4375</v>
      </c>
      <c r="I13" s="9"/>
      <c r="J13">
        <v>50</v>
      </c>
    </row>
    <row r="14" spans="1:18" x14ac:dyDescent="0.25">
      <c r="A14" s="118">
        <v>5</v>
      </c>
      <c r="B14" s="11">
        <v>16</v>
      </c>
      <c r="C14">
        <v>66.67</v>
      </c>
      <c r="D14">
        <v>11</v>
      </c>
      <c r="E14">
        <v>45.83</v>
      </c>
      <c r="F14">
        <f t="shared" si="1"/>
        <v>27</v>
      </c>
      <c r="G14">
        <f t="shared" si="2"/>
        <v>0.5625</v>
      </c>
      <c r="H14">
        <f>SUM(B14:B16,D14:D16)</f>
        <v>75</v>
      </c>
      <c r="I14" s="9">
        <f>H14/144</f>
        <v>0.52083333333333337</v>
      </c>
      <c r="J14">
        <v>54.17</v>
      </c>
    </row>
    <row r="15" spans="1:18" x14ac:dyDescent="0.25">
      <c r="A15" s="118"/>
      <c r="B15" s="11">
        <v>13</v>
      </c>
      <c r="C15">
        <v>54.17</v>
      </c>
      <c r="D15">
        <v>13</v>
      </c>
      <c r="E15">
        <v>54.17</v>
      </c>
      <c r="F15">
        <f t="shared" si="1"/>
        <v>26</v>
      </c>
      <c r="G15">
        <f t="shared" si="2"/>
        <v>0.54166666666666663</v>
      </c>
      <c r="I15" s="9"/>
      <c r="J15">
        <v>58.33</v>
      </c>
    </row>
    <row r="16" spans="1:18" x14ac:dyDescent="0.25">
      <c r="A16" s="118"/>
      <c r="B16" s="11">
        <v>13</v>
      </c>
      <c r="C16">
        <v>54.17</v>
      </c>
      <c r="D16">
        <v>9</v>
      </c>
      <c r="E16">
        <v>37.5</v>
      </c>
      <c r="F16">
        <f t="shared" si="1"/>
        <v>22</v>
      </c>
      <c r="G16">
        <f t="shared" si="2"/>
        <v>0.45833333333333331</v>
      </c>
      <c r="I16" s="9"/>
      <c r="J16">
        <v>62.5</v>
      </c>
    </row>
    <row r="17" spans="1:11" x14ac:dyDescent="0.25">
      <c r="A17" s="118">
        <v>6</v>
      </c>
      <c r="B17" s="11">
        <v>13</v>
      </c>
      <c r="C17">
        <v>54.17</v>
      </c>
      <c r="D17">
        <v>16</v>
      </c>
      <c r="E17">
        <v>66.67</v>
      </c>
      <c r="F17">
        <f t="shared" si="1"/>
        <v>29</v>
      </c>
      <c r="G17">
        <f t="shared" si="2"/>
        <v>0.60416666666666663</v>
      </c>
      <c r="H17">
        <f>SUM(B17:B19,D17:D19)</f>
        <v>68</v>
      </c>
      <c r="I17" s="9">
        <f>H17/144</f>
        <v>0.47222222222222221</v>
      </c>
      <c r="J17">
        <v>66.67</v>
      </c>
    </row>
    <row r="18" spans="1:11" x14ac:dyDescent="0.25">
      <c r="A18" s="118"/>
      <c r="B18" s="11">
        <v>9</v>
      </c>
      <c r="C18">
        <v>37.5</v>
      </c>
      <c r="D18">
        <v>11</v>
      </c>
      <c r="E18">
        <v>45.83</v>
      </c>
      <c r="F18">
        <f t="shared" si="1"/>
        <v>20</v>
      </c>
      <c r="G18">
        <f t="shared" si="2"/>
        <v>0.41666666666666669</v>
      </c>
      <c r="I18" s="9"/>
      <c r="J18">
        <v>70.83</v>
      </c>
    </row>
    <row r="19" spans="1:11" x14ac:dyDescent="0.25">
      <c r="A19" s="118"/>
      <c r="B19" s="11">
        <v>7</v>
      </c>
      <c r="C19">
        <v>29.17</v>
      </c>
      <c r="D19">
        <v>12</v>
      </c>
      <c r="E19">
        <v>50</v>
      </c>
      <c r="F19">
        <f t="shared" si="1"/>
        <v>19</v>
      </c>
      <c r="G19">
        <f t="shared" si="2"/>
        <v>0.39583333333333331</v>
      </c>
      <c r="I19" s="9"/>
      <c r="J19">
        <v>75</v>
      </c>
    </row>
    <row r="20" spans="1:11" x14ac:dyDescent="0.25">
      <c r="A20" t="s">
        <v>44</v>
      </c>
      <c r="B20">
        <f t="shared" ref="B20:G20" si="3">AVERAGE(B2:B19)</f>
        <v>11.888888888888889</v>
      </c>
      <c r="C20">
        <f t="shared" si="3"/>
        <v>47.016574074074065</v>
      </c>
      <c r="D20">
        <f t="shared" si="3"/>
        <v>11.333333333333334</v>
      </c>
      <c r="E20">
        <f t="shared" si="3"/>
        <v>47.223333333333336</v>
      </c>
      <c r="F20">
        <f t="shared" si="3"/>
        <v>23.222222222222221</v>
      </c>
      <c r="G20">
        <f t="shared" si="3"/>
        <v>0.48379629629629634</v>
      </c>
      <c r="I20">
        <f>AVERAGE(I2,I5,I8,I11,I14,I17)</f>
        <v>0.48379629629629628</v>
      </c>
    </row>
    <row r="21" spans="1:11" x14ac:dyDescent="0.25">
      <c r="A21" t="s">
        <v>35</v>
      </c>
      <c r="I21">
        <f>STDEV(I2,I5,I8,I11,I14,I17)</f>
        <v>3.3352617878384977E-2</v>
      </c>
    </row>
    <row r="22" spans="1:11" x14ac:dyDescent="0.25">
      <c r="A22" t="s">
        <v>47</v>
      </c>
      <c r="B22">
        <f>SUM(B2:B19)</f>
        <v>214</v>
      </c>
      <c r="D22">
        <f>SUM(D2:D19)</f>
        <v>204</v>
      </c>
      <c r="F22">
        <f>SUM(F2:F19)</f>
        <v>418</v>
      </c>
      <c r="H22">
        <f>SUM(H2:H19)</f>
        <v>418</v>
      </c>
    </row>
    <row r="23" spans="1:11" x14ac:dyDescent="0.25">
      <c r="C23" t="s">
        <v>2</v>
      </c>
      <c r="E23" t="s">
        <v>1</v>
      </c>
      <c r="H23">
        <f>24*36</f>
        <v>864</v>
      </c>
    </row>
    <row r="24" spans="1:11" x14ac:dyDescent="0.25">
      <c r="K24" t="s">
        <v>69</v>
      </c>
    </row>
    <row r="25" spans="1:11" x14ac:dyDescent="0.25">
      <c r="A25" t="s">
        <v>11</v>
      </c>
      <c r="D25">
        <v>6</v>
      </c>
    </row>
    <row r="26" spans="1:11" x14ac:dyDescent="0.25">
      <c r="A26" t="s">
        <v>7</v>
      </c>
      <c r="D26">
        <v>0.5</v>
      </c>
    </row>
    <row r="27" spans="1:11" x14ac:dyDescent="0.25">
      <c r="A27" t="s">
        <v>6</v>
      </c>
      <c r="D27">
        <v>0.05</v>
      </c>
    </row>
    <row r="28" spans="1:11" x14ac:dyDescent="0.25">
      <c r="A28" t="s">
        <v>5</v>
      </c>
      <c r="D28">
        <v>1</v>
      </c>
    </row>
    <row r="29" spans="1:11" x14ac:dyDescent="0.25">
      <c r="A29" t="s">
        <v>4</v>
      </c>
      <c r="D29">
        <f>D25-1</f>
        <v>5</v>
      </c>
    </row>
    <row r="30" spans="1:11" x14ac:dyDescent="0.25">
      <c r="A30" t="s">
        <v>8</v>
      </c>
      <c r="D30">
        <f>I21/SQRT(D25)</f>
        <v>1.3616149231345142E-2</v>
      </c>
    </row>
    <row r="31" spans="1:11" x14ac:dyDescent="0.25">
      <c r="A31" t="s">
        <v>39</v>
      </c>
      <c r="D31">
        <f>(I20-D26)/D30</f>
        <v>-1.1900357016065806</v>
      </c>
    </row>
    <row r="32" spans="1:11" x14ac:dyDescent="0.25">
      <c r="A32" t="s">
        <v>40</v>
      </c>
      <c r="D32">
        <f>TDIST(ABS(D31),D29,D28)</f>
        <v>0.14372565368160811</v>
      </c>
    </row>
  </sheetData>
  <mergeCells count="6">
    <mergeCell ref="A17:A19"/>
    <mergeCell ref="A2:A4"/>
    <mergeCell ref="A5:A7"/>
    <mergeCell ref="A8:A10"/>
    <mergeCell ref="A11:A13"/>
    <mergeCell ref="A14:A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3"/>
  <sheetViews>
    <sheetView workbookViewId="0">
      <selection activeCell="L37" sqref="L37"/>
    </sheetView>
  </sheetViews>
  <sheetFormatPr defaultRowHeight="15" x14ac:dyDescent="0.25"/>
  <sheetData>
    <row r="1" spans="1:23" x14ac:dyDescent="0.25">
      <c r="A1" s="118" t="s">
        <v>183</v>
      </c>
      <c r="B1" s="118"/>
      <c r="C1" s="118"/>
      <c r="D1" s="118"/>
      <c r="E1" s="118"/>
      <c r="F1" s="118"/>
      <c r="G1" s="118"/>
      <c r="H1" s="118"/>
      <c r="J1" s="118" t="s">
        <v>181</v>
      </c>
      <c r="K1" s="118"/>
      <c r="L1" s="118"/>
    </row>
    <row r="2" spans="1:23" x14ac:dyDescent="0.25">
      <c r="A2" t="s">
        <v>171</v>
      </c>
      <c r="B2" t="s">
        <v>172</v>
      </c>
      <c r="C2" t="s">
        <v>173</v>
      </c>
      <c r="D2" t="s">
        <v>174</v>
      </c>
      <c r="E2" t="s">
        <v>175</v>
      </c>
      <c r="F2" t="s">
        <v>176</v>
      </c>
      <c r="G2" t="s">
        <v>47</v>
      </c>
      <c r="J2" t="s">
        <v>99</v>
      </c>
      <c r="K2" t="s">
        <v>134</v>
      </c>
      <c r="L2" t="s">
        <v>182</v>
      </c>
      <c r="N2" t="s">
        <v>175</v>
      </c>
      <c r="O2" t="s">
        <v>177</v>
      </c>
      <c r="U2" t="s">
        <v>181</v>
      </c>
    </row>
    <row r="3" spans="1:23" x14ac:dyDescent="0.25">
      <c r="A3">
        <v>1</v>
      </c>
      <c r="B3">
        <v>1</v>
      </c>
      <c r="C3">
        <v>9</v>
      </c>
      <c r="D3">
        <v>3</v>
      </c>
      <c r="E3">
        <f t="shared" ref="E3:E34" si="0">C3-D3</f>
        <v>6</v>
      </c>
      <c r="F3">
        <f>(1+(C3-D3)/ABS(C3-D3))/2</f>
        <v>1</v>
      </c>
      <c r="G3">
        <v>1</v>
      </c>
      <c r="H3">
        <v>1</v>
      </c>
      <c r="J3">
        <v>1</v>
      </c>
      <c r="K3">
        <v>2</v>
      </c>
      <c r="L3">
        <v>0.5</v>
      </c>
      <c r="N3">
        <v>-6</v>
      </c>
      <c r="O3">
        <v>1</v>
      </c>
      <c r="P3">
        <f t="shared" ref="P3:P18" si="1">N3*O3</f>
        <v>-6</v>
      </c>
      <c r="U3" t="s">
        <v>99</v>
      </c>
      <c r="V3" t="s">
        <v>134</v>
      </c>
      <c r="W3" t="s">
        <v>182</v>
      </c>
    </row>
    <row r="4" spans="1:23" x14ac:dyDescent="0.25">
      <c r="A4">
        <v>1</v>
      </c>
      <c r="B4">
        <v>2</v>
      </c>
      <c r="C4">
        <v>6</v>
      </c>
      <c r="D4">
        <v>9</v>
      </c>
      <c r="E4">
        <f t="shared" si="0"/>
        <v>-3</v>
      </c>
      <c r="F4">
        <f>(1+(C4-D4)/ABS(C4-D4))/2</f>
        <v>0</v>
      </c>
      <c r="G4">
        <v>1</v>
      </c>
      <c r="H4">
        <v>0</v>
      </c>
      <c r="J4">
        <v>2</v>
      </c>
      <c r="K4">
        <v>3</v>
      </c>
      <c r="L4">
        <v>0.66666666666666663</v>
      </c>
      <c r="N4">
        <v>-4</v>
      </c>
      <c r="O4">
        <v>4</v>
      </c>
      <c r="P4">
        <f t="shared" si="1"/>
        <v>-16</v>
      </c>
      <c r="U4">
        <v>1</v>
      </c>
      <c r="V4">
        <v>2</v>
      </c>
      <c r="W4">
        <v>0.5</v>
      </c>
    </row>
    <row r="5" spans="1:23" x14ac:dyDescent="0.25">
      <c r="A5">
        <v>1</v>
      </c>
      <c r="B5">
        <v>3</v>
      </c>
      <c r="C5">
        <v>9</v>
      </c>
      <c r="D5">
        <v>9</v>
      </c>
      <c r="E5">
        <f t="shared" si="0"/>
        <v>0</v>
      </c>
      <c r="H5">
        <v>0.5</v>
      </c>
      <c r="J5">
        <v>2</v>
      </c>
      <c r="K5">
        <v>3</v>
      </c>
      <c r="L5">
        <v>0.66666666666666663</v>
      </c>
      <c r="N5">
        <v>-3.5</v>
      </c>
      <c r="O5">
        <v>1</v>
      </c>
      <c r="P5">
        <f t="shared" si="1"/>
        <v>-3.5</v>
      </c>
      <c r="U5">
        <v>2</v>
      </c>
      <c r="V5">
        <v>3</v>
      </c>
      <c r="W5">
        <v>0.66666666666666663</v>
      </c>
    </row>
    <row r="6" spans="1:23" x14ac:dyDescent="0.25">
      <c r="A6">
        <v>1</v>
      </c>
      <c r="B6">
        <v>4</v>
      </c>
      <c r="C6">
        <v>9</v>
      </c>
      <c r="D6">
        <v>9</v>
      </c>
      <c r="E6">
        <f t="shared" si="0"/>
        <v>0</v>
      </c>
      <c r="H6">
        <v>0.5</v>
      </c>
      <c r="J6">
        <v>1</v>
      </c>
      <c r="K6">
        <v>1</v>
      </c>
      <c r="L6">
        <v>1</v>
      </c>
      <c r="N6">
        <v>-3</v>
      </c>
      <c r="O6">
        <v>2</v>
      </c>
      <c r="P6">
        <f t="shared" si="1"/>
        <v>-6</v>
      </c>
      <c r="U6">
        <v>2</v>
      </c>
      <c r="V6">
        <v>3</v>
      </c>
      <c r="W6">
        <v>0.66666666666666663</v>
      </c>
    </row>
    <row r="7" spans="1:23" x14ac:dyDescent="0.25">
      <c r="A7">
        <v>2</v>
      </c>
      <c r="B7">
        <v>1</v>
      </c>
      <c r="C7">
        <v>9</v>
      </c>
      <c r="D7">
        <v>8</v>
      </c>
      <c r="E7">
        <f t="shared" si="0"/>
        <v>1</v>
      </c>
      <c r="F7">
        <f>(1+(C7-D7)/ABS(C7-D7))/2</f>
        <v>1</v>
      </c>
      <c r="G7">
        <v>1</v>
      </c>
      <c r="H7">
        <v>1</v>
      </c>
      <c r="J7">
        <v>2</v>
      </c>
      <c r="K7">
        <v>2</v>
      </c>
      <c r="L7">
        <v>1</v>
      </c>
      <c r="N7">
        <v>-2</v>
      </c>
      <c r="O7">
        <v>10</v>
      </c>
      <c r="P7">
        <f t="shared" si="1"/>
        <v>-20</v>
      </c>
      <c r="U7">
        <v>1</v>
      </c>
      <c r="V7">
        <v>1</v>
      </c>
      <c r="W7">
        <v>1</v>
      </c>
    </row>
    <row r="8" spans="1:23" x14ac:dyDescent="0.25">
      <c r="A8">
        <v>2</v>
      </c>
      <c r="B8">
        <v>2</v>
      </c>
      <c r="C8">
        <v>9</v>
      </c>
      <c r="D8">
        <v>10</v>
      </c>
      <c r="E8">
        <f t="shared" si="0"/>
        <v>-1</v>
      </c>
      <c r="F8">
        <f>(1+(C8-D8)/ABS(C8-D8))/2</f>
        <v>0</v>
      </c>
      <c r="G8">
        <v>1</v>
      </c>
      <c r="H8">
        <v>0</v>
      </c>
      <c r="J8">
        <v>1</v>
      </c>
      <c r="K8">
        <v>4</v>
      </c>
      <c r="L8">
        <v>0.25</v>
      </c>
      <c r="N8">
        <v>-1</v>
      </c>
      <c r="O8">
        <v>26</v>
      </c>
      <c r="P8">
        <f t="shared" si="1"/>
        <v>-26</v>
      </c>
      <c r="Q8">
        <f>SUM(P3:P8)/SUM(O3:O8)</f>
        <v>-1.7613636363636365</v>
      </c>
      <c r="R8" t="s">
        <v>178</v>
      </c>
      <c r="U8">
        <v>2</v>
      </c>
      <c r="V8">
        <v>2</v>
      </c>
      <c r="W8">
        <v>1</v>
      </c>
    </row>
    <row r="9" spans="1:23" x14ac:dyDescent="0.25">
      <c r="A9">
        <v>2</v>
      </c>
      <c r="B9">
        <v>3</v>
      </c>
      <c r="C9">
        <v>9</v>
      </c>
      <c r="D9">
        <v>9</v>
      </c>
      <c r="E9">
        <f t="shared" si="0"/>
        <v>0</v>
      </c>
      <c r="H9">
        <v>0.5</v>
      </c>
      <c r="J9">
        <v>1</v>
      </c>
      <c r="K9">
        <v>1</v>
      </c>
      <c r="L9">
        <v>1</v>
      </c>
      <c r="N9">
        <v>0.5</v>
      </c>
      <c r="O9">
        <v>1</v>
      </c>
      <c r="P9">
        <f t="shared" si="1"/>
        <v>0.5</v>
      </c>
      <c r="U9">
        <v>1</v>
      </c>
      <c r="V9">
        <v>4</v>
      </c>
      <c r="W9">
        <v>0.25</v>
      </c>
    </row>
    <row r="10" spans="1:23" x14ac:dyDescent="0.25">
      <c r="A10">
        <v>2</v>
      </c>
      <c r="B10">
        <v>4</v>
      </c>
      <c r="C10">
        <v>10</v>
      </c>
      <c r="D10">
        <v>9</v>
      </c>
      <c r="E10">
        <f t="shared" si="0"/>
        <v>1</v>
      </c>
      <c r="F10">
        <f>(1+(C10-D10)/ABS(C10-D10))/2</f>
        <v>1</v>
      </c>
      <c r="G10">
        <v>1</v>
      </c>
      <c r="H10">
        <v>1</v>
      </c>
      <c r="J10">
        <v>1</v>
      </c>
      <c r="K10">
        <v>1</v>
      </c>
      <c r="L10">
        <v>1</v>
      </c>
      <c r="N10">
        <v>1</v>
      </c>
      <c r="O10">
        <v>12</v>
      </c>
      <c r="P10">
        <f t="shared" si="1"/>
        <v>12</v>
      </c>
      <c r="U10">
        <v>1</v>
      </c>
      <c r="V10">
        <v>1</v>
      </c>
      <c r="W10">
        <v>1</v>
      </c>
    </row>
    <row r="11" spans="1:23" x14ac:dyDescent="0.25">
      <c r="A11">
        <v>3</v>
      </c>
      <c r="B11">
        <v>1</v>
      </c>
      <c r="C11">
        <v>9</v>
      </c>
      <c r="D11">
        <v>8</v>
      </c>
      <c r="E11">
        <f t="shared" si="0"/>
        <v>1</v>
      </c>
      <c r="F11">
        <f>(1+(C11-D11)/ABS(C11-D11))/2</f>
        <v>1</v>
      </c>
      <c r="G11">
        <v>1</v>
      </c>
      <c r="H11">
        <v>1</v>
      </c>
      <c r="J11">
        <v>0</v>
      </c>
      <c r="K11">
        <v>2</v>
      </c>
      <c r="L11">
        <v>0</v>
      </c>
      <c r="N11">
        <v>2</v>
      </c>
      <c r="O11">
        <v>6</v>
      </c>
      <c r="P11">
        <f t="shared" si="1"/>
        <v>12</v>
      </c>
      <c r="U11">
        <v>1</v>
      </c>
      <c r="V11">
        <v>1</v>
      </c>
      <c r="W11">
        <v>1</v>
      </c>
    </row>
    <row r="12" spans="1:23" x14ac:dyDescent="0.25">
      <c r="A12">
        <v>3</v>
      </c>
      <c r="B12">
        <v>2</v>
      </c>
      <c r="C12">
        <v>9</v>
      </c>
      <c r="D12">
        <v>9</v>
      </c>
      <c r="E12">
        <f t="shared" si="0"/>
        <v>0</v>
      </c>
      <c r="H12">
        <v>0.5</v>
      </c>
      <c r="J12">
        <v>1</v>
      </c>
      <c r="K12">
        <v>4</v>
      </c>
      <c r="L12">
        <v>0.25</v>
      </c>
      <c r="N12">
        <v>3</v>
      </c>
      <c r="O12">
        <v>4</v>
      </c>
      <c r="P12">
        <f t="shared" si="1"/>
        <v>12</v>
      </c>
      <c r="U12">
        <v>0</v>
      </c>
      <c r="V12">
        <v>2</v>
      </c>
      <c r="W12">
        <v>0</v>
      </c>
    </row>
    <row r="13" spans="1:23" x14ac:dyDescent="0.25">
      <c r="A13">
        <v>3</v>
      </c>
      <c r="B13">
        <v>3</v>
      </c>
      <c r="C13">
        <v>8</v>
      </c>
      <c r="D13">
        <v>9</v>
      </c>
      <c r="E13">
        <f t="shared" si="0"/>
        <v>-1</v>
      </c>
      <c r="F13">
        <f>(1+(C13-D13)/ABS(C13-D13))/2</f>
        <v>0</v>
      </c>
      <c r="G13">
        <v>1</v>
      </c>
      <c r="H13">
        <v>0</v>
      </c>
      <c r="J13">
        <v>2</v>
      </c>
      <c r="K13">
        <v>4</v>
      </c>
      <c r="L13">
        <v>0.5</v>
      </c>
      <c r="N13">
        <v>3.5</v>
      </c>
      <c r="O13">
        <v>1</v>
      </c>
      <c r="P13">
        <f t="shared" si="1"/>
        <v>3.5</v>
      </c>
      <c r="U13">
        <v>1</v>
      </c>
      <c r="V13">
        <v>4</v>
      </c>
      <c r="W13">
        <v>0.25</v>
      </c>
    </row>
    <row r="14" spans="1:23" x14ac:dyDescent="0.25">
      <c r="A14">
        <v>3</v>
      </c>
      <c r="B14">
        <v>4</v>
      </c>
      <c r="C14">
        <v>9</v>
      </c>
      <c r="D14">
        <v>8</v>
      </c>
      <c r="E14">
        <f t="shared" si="0"/>
        <v>1</v>
      </c>
      <c r="F14">
        <f>(1+(C14-D14)/ABS(C14-D14))/2</f>
        <v>1</v>
      </c>
      <c r="G14">
        <v>1</v>
      </c>
      <c r="H14">
        <v>1</v>
      </c>
      <c r="J14">
        <v>1</v>
      </c>
      <c r="K14">
        <v>2</v>
      </c>
      <c r="L14">
        <v>0.5</v>
      </c>
      <c r="N14">
        <v>4</v>
      </c>
      <c r="O14">
        <v>7</v>
      </c>
      <c r="P14">
        <f t="shared" si="1"/>
        <v>28</v>
      </c>
      <c r="U14">
        <v>2</v>
      </c>
      <c r="V14">
        <v>4</v>
      </c>
      <c r="W14">
        <v>0.5</v>
      </c>
    </row>
    <row r="15" spans="1:23" x14ac:dyDescent="0.25">
      <c r="A15">
        <v>4</v>
      </c>
      <c r="B15">
        <v>1</v>
      </c>
      <c r="C15">
        <v>8</v>
      </c>
      <c r="D15">
        <v>5</v>
      </c>
      <c r="E15">
        <f t="shared" si="0"/>
        <v>3</v>
      </c>
      <c r="F15">
        <f>(1+(C15-D15)/ABS(C15-D15))/2</f>
        <v>1</v>
      </c>
      <c r="G15">
        <v>1</v>
      </c>
      <c r="H15">
        <v>1</v>
      </c>
      <c r="J15">
        <v>1</v>
      </c>
      <c r="K15">
        <v>2</v>
      </c>
      <c r="L15">
        <v>0.5</v>
      </c>
      <c r="N15">
        <v>5</v>
      </c>
      <c r="O15">
        <v>3</v>
      </c>
      <c r="P15">
        <f t="shared" si="1"/>
        <v>15</v>
      </c>
      <c r="U15">
        <v>1</v>
      </c>
      <c r="V15">
        <v>2</v>
      </c>
      <c r="W15">
        <v>0.5</v>
      </c>
    </row>
    <row r="16" spans="1:23" x14ac:dyDescent="0.25">
      <c r="A16">
        <v>4</v>
      </c>
      <c r="B16">
        <v>2</v>
      </c>
      <c r="C16">
        <v>8</v>
      </c>
      <c r="D16">
        <v>8</v>
      </c>
      <c r="E16">
        <f t="shared" si="0"/>
        <v>0</v>
      </c>
      <c r="H16">
        <v>0.5</v>
      </c>
      <c r="J16">
        <v>1</v>
      </c>
      <c r="K16">
        <v>3</v>
      </c>
      <c r="L16">
        <v>0.33333333333333331</v>
      </c>
      <c r="N16">
        <v>6</v>
      </c>
      <c r="O16">
        <v>4</v>
      </c>
      <c r="P16">
        <f t="shared" si="1"/>
        <v>24</v>
      </c>
      <c r="U16">
        <v>1</v>
      </c>
      <c r="V16">
        <v>2</v>
      </c>
      <c r="W16">
        <v>0.5</v>
      </c>
    </row>
    <row r="17" spans="1:23" x14ac:dyDescent="0.25">
      <c r="A17">
        <v>4</v>
      </c>
      <c r="B17">
        <v>3</v>
      </c>
      <c r="C17">
        <v>9</v>
      </c>
      <c r="D17">
        <v>9</v>
      </c>
      <c r="E17">
        <f t="shared" si="0"/>
        <v>0</v>
      </c>
      <c r="H17">
        <v>0.5</v>
      </c>
      <c r="J17">
        <v>1</v>
      </c>
      <c r="K17">
        <v>4</v>
      </c>
      <c r="L17">
        <v>0.25</v>
      </c>
      <c r="N17">
        <v>7</v>
      </c>
      <c r="O17">
        <v>3</v>
      </c>
      <c r="P17">
        <f t="shared" si="1"/>
        <v>21</v>
      </c>
      <c r="U17">
        <v>1</v>
      </c>
      <c r="V17">
        <v>3</v>
      </c>
      <c r="W17">
        <v>0.33333333333333331</v>
      </c>
    </row>
    <row r="18" spans="1:23" x14ac:dyDescent="0.25">
      <c r="A18">
        <v>4</v>
      </c>
      <c r="B18">
        <v>4</v>
      </c>
      <c r="C18">
        <v>9</v>
      </c>
      <c r="D18">
        <v>9</v>
      </c>
      <c r="E18">
        <f t="shared" si="0"/>
        <v>0</v>
      </c>
      <c r="H18">
        <v>0.5</v>
      </c>
      <c r="J18">
        <v>2</v>
      </c>
      <c r="K18">
        <v>2</v>
      </c>
      <c r="L18">
        <v>1</v>
      </c>
      <c r="N18">
        <v>9</v>
      </c>
      <c r="O18">
        <v>1</v>
      </c>
      <c r="P18">
        <f t="shared" si="1"/>
        <v>9</v>
      </c>
      <c r="Q18">
        <f>SUM(P9:P18)/SUM(O9:O18)</f>
        <v>3.2619047619047619</v>
      </c>
      <c r="R18" t="s">
        <v>179</v>
      </c>
      <c r="U18">
        <v>1</v>
      </c>
      <c r="V18">
        <v>4</v>
      </c>
      <c r="W18">
        <v>0.25</v>
      </c>
    </row>
    <row r="19" spans="1:23" x14ac:dyDescent="0.25">
      <c r="A19">
        <v>5</v>
      </c>
      <c r="B19">
        <v>1</v>
      </c>
      <c r="C19">
        <v>9</v>
      </c>
      <c r="D19">
        <v>7</v>
      </c>
      <c r="E19">
        <f t="shared" si="0"/>
        <v>2</v>
      </c>
      <c r="F19">
        <f>(1+(C19-D19)/ABS(C19-D19))/2</f>
        <v>1</v>
      </c>
      <c r="G19">
        <v>1</v>
      </c>
      <c r="H19">
        <v>1</v>
      </c>
      <c r="J19">
        <v>1</v>
      </c>
      <c r="K19">
        <v>3</v>
      </c>
      <c r="L19">
        <v>0.33333333333333331</v>
      </c>
      <c r="N19" t="s">
        <v>47</v>
      </c>
      <c r="O19">
        <f>SUM(O3:O18)</f>
        <v>86</v>
      </c>
      <c r="P19">
        <f>SUM(P3:P18)</f>
        <v>59.5</v>
      </c>
      <c r="U19">
        <v>2</v>
      </c>
      <c r="V19">
        <v>2</v>
      </c>
      <c r="W19">
        <v>1</v>
      </c>
    </row>
    <row r="20" spans="1:23" x14ac:dyDescent="0.25">
      <c r="A20">
        <v>5</v>
      </c>
      <c r="B20">
        <v>2</v>
      </c>
      <c r="C20">
        <v>9</v>
      </c>
      <c r="D20">
        <v>9</v>
      </c>
      <c r="E20">
        <f t="shared" si="0"/>
        <v>0</v>
      </c>
      <c r="H20">
        <v>0.5</v>
      </c>
      <c r="J20">
        <v>2</v>
      </c>
      <c r="K20">
        <v>2</v>
      </c>
      <c r="L20">
        <v>1</v>
      </c>
      <c r="U20">
        <v>1</v>
      </c>
      <c r="V20">
        <v>3</v>
      </c>
      <c r="W20">
        <v>0.33333333333333331</v>
      </c>
    </row>
    <row r="21" spans="1:23" x14ac:dyDescent="0.25">
      <c r="A21">
        <v>5</v>
      </c>
      <c r="B21">
        <v>3</v>
      </c>
      <c r="C21">
        <v>8</v>
      </c>
      <c r="D21">
        <v>8</v>
      </c>
      <c r="E21">
        <f t="shared" si="0"/>
        <v>0</v>
      </c>
      <c r="H21">
        <v>0.5</v>
      </c>
      <c r="J21">
        <v>2</v>
      </c>
      <c r="K21">
        <v>4</v>
      </c>
      <c r="L21">
        <v>0.5</v>
      </c>
      <c r="U21">
        <v>2</v>
      </c>
      <c r="V21">
        <v>2</v>
      </c>
      <c r="W21">
        <v>1</v>
      </c>
    </row>
    <row r="22" spans="1:23" x14ac:dyDescent="0.25">
      <c r="A22">
        <v>5</v>
      </c>
      <c r="B22">
        <v>4</v>
      </c>
      <c r="C22">
        <v>9</v>
      </c>
      <c r="D22">
        <v>8</v>
      </c>
      <c r="E22">
        <f t="shared" si="0"/>
        <v>1</v>
      </c>
      <c r="F22">
        <f t="shared" ref="F22:F27" si="2">(1+(C22-D22)/ABS(C22-D22))/2</f>
        <v>1</v>
      </c>
      <c r="G22">
        <v>1</v>
      </c>
      <c r="H22">
        <v>1</v>
      </c>
      <c r="J22">
        <v>1</v>
      </c>
      <c r="K22">
        <v>2</v>
      </c>
      <c r="L22">
        <v>0.5</v>
      </c>
      <c r="U22">
        <v>2</v>
      </c>
      <c r="V22">
        <v>4</v>
      </c>
      <c r="W22">
        <v>0.5</v>
      </c>
    </row>
    <row r="23" spans="1:23" x14ac:dyDescent="0.25">
      <c r="A23">
        <v>6</v>
      </c>
      <c r="B23">
        <v>1</v>
      </c>
      <c r="C23">
        <v>9</v>
      </c>
      <c r="D23">
        <v>5</v>
      </c>
      <c r="E23">
        <f t="shared" si="0"/>
        <v>4</v>
      </c>
      <c r="F23">
        <f t="shared" si="2"/>
        <v>1</v>
      </c>
      <c r="G23">
        <v>1</v>
      </c>
      <c r="H23">
        <v>1</v>
      </c>
      <c r="J23">
        <v>1</v>
      </c>
      <c r="K23">
        <v>3</v>
      </c>
      <c r="L23">
        <v>0.33333333333333331</v>
      </c>
      <c r="U23">
        <v>1</v>
      </c>
      <c r="V23">
        <v>2</v>
      </c>
      <c r="W23">
        <v>0.5</v>
      </c>
    </row>
    <row r="24" spans="1:23" x14ac:dyDescent="0.25">
      <c r="A24">
        <v>6</v>
      </c>
      <c r="B24">
        <v>2</v>
      </c>
      <c r="C24">
        <v>8</v>
      </c>
      <c r="D24">
        <v>9</v>
      </c>
      <c r="E24">
        <f t="shared" si="0"/>
        <v>-1</v>
      </c>
      <c r="F24">
        <f t="shared" si="2"/>
        <v>0</v>
      </c>
      <c r="G24">
        <v>1</v>
      </c>
      <c r="H24">
        <v>0</v>
      </c>
      <c r="J24">
        <v>1</v>
      </c>
      <c r="K24">
        <v>2</v>
      </c>
      <c r="L24">
        <v>0.5</v>
      </c>
      <c r="N24">
        <v>1</v>
      </c>
      <c r="O24">
        <f>AVERAGE(J6,J9,J10)</f>
        <v>1</v>
      </c>
      <c r="U24">
        <v>1</v>
      </c>
      <c r="V24">
        <v>3</v>
      </c>
      <c r="W24">
        <v>0.33333333333333331</v>
      </c>
    </row>
    <row r="25" spans="1:23" x14ac:dyDescent="0.25">
      <c r="A25">
        <v>6</v>
      </c>
      <c r="B25">
        <v>3</v>
      </c>
      <c r="C25">
        <v>5</v>
      </c>
      <c r="D25">
        <v>9</v>
      </c>
      <c r="E25">
        <f t="shared" si="0"/>
        <v>-4</v>
      </c>
      <c r="F25">
        <f t="shared" si="2"/>
        <v>0</v>
      </c>
      <c r="G25">
        <v>1</v>
      </c>
      <c r="H25">
        <v>0</v>
      </c>
      <c r="J25">
        <v>2</v>
      </c>
      <c r="K25">
        <v>3</v>
      </c>
      <c r="L25">
        <v>0.66666666666666663</v>
      </c>
      <c r="N25">
        <v>2</v>
      </c>
      <c r="O25">
        <f>AVERAGE(O24,J3,J7,J11,J14,J15,J18,J20,J22,J24,J26,J27,J29,J34)</f>
        <v>1.0714285714285714</v>
      </c>
      <c r="U25">
        <v>1</v>
      </c>
      <c r="V25">
        <v>2</v>
      </c>
      <c r="W25">
        <v>0.5</v>
      </c>
    </row>
    <row r="26" spans="1:23" x14ac:dyDescent="0.25">
      <c r="A26">
        <v>6</v>
      </c>
      <c r="B26">
        <v>4</v>
      </c>
      <c r="C26">
        <v>7</v>
      </c>
      <c r="D26">
        <v>9</v>
      </c>
      <c r="E26">
        <f t="shared" si="0"/>
        <v>-2</v>
      </c>
      <c r="F26">
        <f t="shared" si="2"/>
        <v>0</v>
      </c>
      <c r="G26">
        <v>1</v>
      </c>
      <c r="H26">
        <v>0</v>
      </c>
      <c r="J26">
        <v>1</v>
      </c>
      <c r="K26">
        <v>2</v>
      </c>
      <c r="L26">
        <v>0.5</v>
      </c>
      <c r="N26">
        <v>3</v>
      </c>
      <c r="O26">
        <f>AVERAGE(J4,J5,J16,J19,J23,J25,J30)</f>
        <v>1.5714285714285714</v>
      </c>
      <c r="U26">
        <v>2</v>
      </c>
      <c r="V26">
        <v>3</v>
      </c>
      <c r="W26">
        <v>0.66666666666666663</v>
      </c>
    </row>
    <row r="27" spans="1:23" x14ac:dyDescent="0.25">
      <c r="A27">
        <v>7</v>
      </c>
      <c r="B27">
        <v>1</v>
      </c>
      <c r="C27">
        <v>10</v>
      </c>
      <c r="D27">
        <v>6</v>
      </c>
      <c r="E27">
        <f t="shared" si="0"/>
        <v>4</v>
      </c>
      <c r="F27">
        <f t="shared" si="2"/>
        <v>1</v>
      </c>
      <c r="G27">
        <v>1</v>
      </c>
      <c r="H27">
        <v>1</v>
      </c>
      <c r="J27">
        <v>1</v>
      </c>
      <c r="K27">
        <v>2</v>
      </c>
      <c r="L27">
        <v>0.5</v>
      </c>
      <c r="N27">
        <v>4</v>
      </c>
      <c r="O27">
        <f>AVERAGE(J33,J32,J31,J28,J21,J17,J13,J12,J8)</f>
        <v>1.5555555555555556</v>
      </c>
      <c r="U27">
        <v>1</v>
      </c>
      <c r="V27">
        <v>2</v>
      </c>
      <c r="W27">
        <v>0.5</v>
      </c>
    </row>
    <row r="28" spans="1:23" x14ac:dyDescent="0.25">
      <c r="A28">
        <v>7</v>
      </c>
      <c r="B28">
        <v>2</v>
      </c>
      <c r="C28">
        <v>9</v>
      </c>
      <c r="D28">
        <v>9</v>
      </c>
      <c r="E28">
        <f t="shared" si="0"/>
        <v>0</v>
      </c>
      <c r="H28">
        <v>0.5</v>
      </c>
      <c r="J28">
        <v>3</v>
      </c>
      <c r="K28">
        <v>4</v>
      </c>
      <c r="L28">
        <v>0.75</v>
      </c>
      <c r="U28">
        <v>1</v>
      </c>
      <c r="V28">
        <v>2</v>
      </c>
      <c r="W28">
        <v>0.5</v>
      </c>
    </row>
    <row r="29" spans="1:23" x14ac:dyDescent="0.25">
      <c r="A29">
        <v>7</v>
      </c>
      <c r="B29">
        <v>3</v>
      </c>
      <c r="C29">
        <v>9</v>
      </c>
      <c r="D29">
        <v>9</v>
      </c>
      <c r="E29">
        <f t="shared" si="0"/>
        <v>0</v>
      </c>
      <c r="H29">
        <v>0.5</v>
      </c>
      <c r="J29">
        <v>0</v>
      </c>
      <c r="K29">
        <v>2</v>
      </c>
      <c r="L29">
        <v>0</v>
      </c>
      <c r="U29">
        <v>3</v>
      </c>
      <c r="V29">
        <v>4</v>
      </c>
      <c r="W29">
        <v>0.75</v>
      </c>
    </row>
    <row r="30" spans="1:23" x14ac:dyDescent="0.25">
      <c r="A30">
        <v>7</v>
      </c>
      <c r="B30">
        <v>4</v>
      </c>
      <c r="C30">
        <v>10</v>
      </c>
      <c r="D30">
        <v>10</v>
      </c>
      <c r="E30">
        <f t="shared" si="0"/>
        <v>0</v>
      </c>
      <c r="H30">
        <v>0.5</v>
      </c>
      <c r="J30">
        <v>2</v>
      </c>
      <c r="K30">
        <v>3</v>
      </c>
      <c r="L30">
        <v>0.66666666666666663</v>
      </c>
      <c r="U30">
        <v>0</v>
      </c>
      <c r="V30">
        <v>2</v>
      </c>
      <c r="W30">
        <v>0</v>
      </c>
    </row>
    <row r="31" spans="1:23" x14ac:dyDescent="0.25">
      <c r="A31">
        <v>8</v>
      </c>
      <c r="B31">
        <v>1</v>
      </c>
      <c r="C31">
        <v>10</v>
      </c>
      <c r="D31">
        <v>5</v>
      </c>
      <c r="E31">
        <f t="shared" si="0"/>
        <v>5</v>
      </c>
      <c r="F31">
        <f>(1+(C31-D31)/ABS(C31-D31))/2</f>
        <v>1</v>
      </c>
      <c r="G31">
        <v>1</v>
      </c>
      <c r="H31">
        <v>1</v>
      </c>
      <c r="J31">
        <v>1</v>
      </c>
      <c r="K31">
        <v>4</v>
      </c>
      <c r="L31">
        <v>0.25</v>
      </c>
      <c r="U31">
        <v>2</v>
      </c>
      <c r="V31">
        <v>3</v>
      </c>
      <c r="W31">
        <v>0.66666666666666663</v>
      </c>
    </row>
    <row r="32" spans="1:23" x14ac:dyDescent="0.25">
      <c r="A32">
        <v>8</v>
      </c>
      <c r="B32">
        <v>2</v>
      </c>
      <c r="C32">
        <v>10</v>
      </c>
      <c r="D32">
        <v>10</v>
      </c>
      <c r="E32">
        <f t="shared" si="0"/>
        <v>0</v>
      </c>
      <c r="H32">
        <v>0.5</v>
      </c>
      <c r="J32">
        <v>2</v>
      </c>
      <c r="K32">
        <v>4</v>
      </c>
      <c r="L32">
        <v>0.5</v>
      </c>
      <c r="U32">
        <v>1</v>
      </c>
      <c r="V32">
        <v>4</v>
      </c>
      <c r="W32">
        <v>0.25</v>
      </c>
    </row>
    <row r="33" spans="1:23" x14ac:dyDescent="0.25">
      <c r="A33">
        <v>8</v>
      </c>
      <c r="B33">
        <v>3</v>
      </c>
      <c r="C33">
        <v>9</v>
      </c>
      <c r="D33">
        <v>9</v>
      </c>
      <c r="E33">
        <f t="shared" si="0"/>
        <v>0</v>
      </c>
      <c r="H33">
        <v>0.5</v>
      </c>
      <c r="J33">
        <v>1</v>
      </c>
      <c r="K33">
        <v>4</v>
      </c>
      <c r="L33">
        <v>0.25</v>
      </c>
      <c r="U33">
        <v>2</v>
      </c>
      <c r="V33">
        <v>4</v>
      </c>
      <c r="W33">
        <v>0.5</v>
      </c>
    </row>
    <row r="34" spans="1:23" x14ac:dyDescent="0.25">
      <c r="A34">
        <v>8</v>
      </c>
      <c r="B34">
        <v>4</v>
      </c>
      <c r="C34">
        <v>10</v>
      </c>
      <c r="D34">
        <v>10</v>
      </c>
      <c r="E34">
        <f t="shared" si="0"/>
        <v>0</v>
      </c>
      <c r="H34">
        <v>0.5</v>
      </c>
      <c r="J34">
        <v>1</v>
      </c>
      <c r="K34">
        <v>2</v>
      </c>
      <c r="L34">
        <v>0.5</v>
      </c>
      <c r="U34">
        <v>1</v>
      </c>
      <c r="V34">
        <v>4</v>
      </c>
      <c r="W34">
        <v>0.25</v>
      </c>
    </row>
    <row r="35" spans="1:23" x14ac:dyDescent="0.25">
      <c r="A35">
        <v>9</v>
      </c>
      <c r="B35">
        <v>1</v>
      </c>
      <c r="C35">
        <v>6</v>
      </c>
      <c r="D35">
        <v>6</v>
      </c>
      <c r="E35">
        <f t="shared" ref="E35:E66" si="3">C35-D35</f>
        <v>0</v>
      </c>
      <c r="H35">
        <v>0.5</v>
      </c>
      <c r="J35">
        <f>SUM(J3:J34)</f>
        <v>42</v>
      </c>
      <c r="K35">
        <f>SUM(K3:K34)</f>
        <v>86</v>
      </c>
      <c r="U35">
        <v>1</v>
      </c>
      <c r="V35">
        <v>2</v>
      </c>
      <c r="W35">
        <v>0.5</v>
      </c>
    </row>
    <row r="36" spans="1:23" x14ac:dyDescent="0.25">
      <c r="A36">
        <v>9</v>
      </c>
      <c r="B36">
        <v>2</v>
      </c>
      <c r="C36">
        <v>6</v>
      </c>
      <c r="D36">
        <v>8</v>
      </c>
      <c r="E36">
        <f t="shared" si="3"/>
        <v>-2</v>
      </c>
      <c r="F36">
        <f>(1+(C36-D36)/ABS(C36-D36))/2</f>
        <v>0</v>
      </c>
      <c r="G36">
        <v>1</v>
      </c>
      <c r="H36">
        <v>0</v>
      </c>
      <c r="W36">
        <f>AVERAGE(W4:W35)</f>
        <v>0.53645833333333326</v>
      </c>
    </row>
    <row r="37" spans="1:23" x14ac:dyDescent="0.25">
      <c r="A37">
        <v>9</v>
      </c>
      <c r="B37">
        <v>3</v>
      </c>
      <c r="C37">
        <v>7</v>
      </c>
      <c r="D37">
        <v>8</v>
      </c>
      <c r="E37">
        <f t="shared" si="3"/>
        <v>-1</v>
      </c>
      <c r="F37">
        <f>(1+(C37-D37)/ABS(C37-D37))/2</f>
        <v>0</v>
      </c>
      <c r="G37">
        <v>1</v>
      </c>
      <c r="H37">
        <v>0</v>
      </c>
      <c r="K37" s="1" t="s">
        <v>184</v>
      </c>
      <c r="L37" s="1">
        <f>AVERAGE(L3:L34)</f>
        <v>0.53645833333333326</v>
      </c>
      <c r="W37">
        <f>_xlfn.STDEV.S(W4:W35)</f>
        <v>0.28550519582991518</v>
      </c>
    </row>
    <row r="38" spans="1:23" x14ac:dyDescent="0.25">
      <c r="A38">
        <v>9</v>
      </c>
      <c r="B38">
        <v>4</v>
      </c>
      <c r="C38">
        <v>8</v>
      </c>
      <c r="D38">
        <v>8</v>
      </c>
      <c r="E38">
        <f t="shared" si="3"/>
        <v>0</v>
      </c>
      <c r="H38">
        <v>0.5</v>
      </c>
      <c r="K38" s="1" t="s">
        <v>185</v>
      </c>
      <c r="L38" s="1">
        <f>_xlfn.STDEV.S(L3:L34)</f>
        <v>0.28550519582991518</v>
      </c>
    </row>
    <row r="39" spans="1:23" x14ac:dyDescent="0.25">
      <c r="A39">
        <v>10</v>
      </c>
      <c r="B39">
        <v>1</v>
      </c>
      <c r="C39">
        <v>9</v>
      </c>
      <c r="D39">
        <v>6</v>
      </c>
      <c r="E39">
        <f t="shared" si="3"/>
        <v>3</v>
      </c>
      <c r="F39">
        <f t="shared" ref="F39:F47" si="4">(1+(C39-D39)/ABS(C39-D39))/2</f>
        <v>1</v>
      </c>
      <c r="G39">
        <v>1</v>
      </c>
      <c r="H39">
        <v>1</v>
      </c>
    </row>
    <row r="40" spans="1:23" x14ac:dyDescent="0.25">
      <c r="A40">
        <v>10</v>
      </c>
      <c r="B40">
        <v>2</v>
      </c>
      <c r="C40">
        <v>8</v>
      </c>
      <c r="D40">
        <v>9</v>
      </c>
      <c r="E40">
        <f t="shared" si="3"/>
        <v>-1</v>
      </c>
      <c r="F40">
        <f t="shared" si="4"/>
        <v>0</v>
      </c>
      <c r="G40">
        <v>1</v>
      </c>
      <c r="H40">
        <v>0</v>
      </c>
    </row>
    <row r="41" spans="1:23" x14ac:dyDescent="0.25">
      <c r="A41">
        <v>10</v>
      </c>
      <c r="B41">
        <v>3</v>
      </c>
      <c r="C41">
        <v>9</v>
      </c>
      <c r="D41">
        <v>10</v>
      </c>
      <c r="E41">
        <f t="shared" si="3"/>
        <v>-1</v>
      </c>
      <c r="F41">
        <f t="shared" si="4"/>
        <v>0</v>
      </c>
      <c r="G41">
        <v>1</v>
      </c>
      <c r="H41">
        <v>0</v>
      </c>
    </row>
    <row r="42" spans="1:23" x14ac:dyDescent="0.25">
      <c r="A42">
        <v>10</v>
      </c>
      <c r="B42">
        <v>4</v>
      </c>
      <c r="C42">
        <v>9</v>
      </c>
      <c r="D42">
        <v>10</v>
      </c>
      <c r="E42">
        <f t="shared" si="3"/>
        <v>-1</v>
      </c>
      <c r="F42">
        <f t="shared" si="4"/>
        <v>0</v>
      </c>
      <c r="G42">
        <v>1</v>
      </c>
      <c r="H42">
        <v>0</v>
      </c>
    </row>
    <row r="43" spans="1:23" x14ac:dyDescent="0.25">
      <c r="A43">
        <v>11</v>
      </c>
      <c r="B43">
        <v>1</v>
      </c>
      <c r="C43">
        <v>6.5</v>
      </c>
      <c r="D43">
        <v>3</v>
      </c>
      <c r="E43">
        <f t="shared" si="3"/>
        <v>3.5</v>
      </c>
      <c r="F43">
        <f t="shared" si="4"/>
        <v>1</v>
      </c>
      <c r="G43">
        <v>1</v>
      </c>
      <c r="H43">
        <v>1</v>
      </c>
    </row>
    <row r="44" spans="1:23" x14ac:dyDescent="0.25">
      <c r="A44">
        <v>11</v>
      </c>
      <c r="B44">
        <v>2</v>
      </c>
      <c r="C44">
        <v>5.5</v>
      </c>
      <c r="D44">
        <v>5</v>
      </c>
      <c r="E44">
        <f t="shared" si="3"/>
        <v>0.5</v>
      </c>
      <c r="F44">
        <f t="shared" si="4"/>
        <v>1</v>
      </c>
      <c r="G44">
        <v>1</v>
      </c>
      <c r="H44">
        <v>1</v>
      </c>
    </row>
    <row r="45" spans="1:23" x14ac:dyDescent="0.25">
      <c r="A45">
        <v>11</v>
      </c>
      <c r="B45">
        <v>3</v>
      </c>
      <c r="C45">
        <v>5.5</v>
      </c>
      <c r="D45">
        <v>6.5</v>
      </c>
      <c r="E45">
        <f t="shared" si="3"/>
        <v>-1</v>
      </c>
      <c r="F45">
        <f t="shared" si="4"/>
        <v>0</v>
      </c>
      <c r="G45">
        <v>1</v>
      </c>
      <c r="H45">
        <v>0</v>
      </c>
    </row>
    <row r="46" spans="1:23" x14ac:dyDescent="0.25">
      <c r="A46">
        <v>11</v>
      </c>
      <c r="B46">
        <v>4</v>
      </c>
      <c r="C46">
        <v>5.5</v>
      </c>
      <c r="D46">
        <v>9</v>
      </c>
      <c r="E46">
        <f t="shared" si="3"/>
        <v>-3.5</v>
      </c>
      <c r="F46">
        <f t="shared" si="4"/>
        <v>0</v>
      </c>
      <c r="G46">
        <v>1</v>
      </c>
      <c r="H46">
        <v>0</v>
      </c>
    </row>
    <row r="47" spans="1:23" x14ac:dyDescent="0.25">
      <c r="A47">
        <v>12</v>
      </c>
      <c r="B47">
        <v>1</v>
      </c>
      <c r="C47">
        <v>9</v>
      </c>
      <c r="D47">
        <v>3</v>
      </c>
      <c r="E47">
        <f t="shared" si="3"/>
        <v>6</v>
      </c>
      <c r="F47">
        <f t="shared" si="4"/>
        <v>1</v>
      </c>
      <c r="G47">
        <v>1</v>
      </c>
      <c r="H47">
        <v>1</v>
      </c>
    </row>
    <row r="48" spans="1:23" x14ac:dyDescent="0.25">
      <c r="A48">
        <v>12</v>
      </c>
      <c r="B48">
        <v>2</v>
      </c>
      <c r="C48">
        <v>10</v>
      </c>
      <c r="D48">
        <v>10</v>
      </c>
      <c r="E48">
        <f t="shared" si="3"/>
        <v>0</v>
      </c>
      <c r="H48">
        <v>0.5</v>
      </c>
    </row>
    <row r="49" spans="1:8" x14ac:dyDescent="0.25">
      <c r="A49">
        <v>12</v>
      </c>
      <c r="B49">
        <v>3</v>
      </c>
      <c r="C49">
        <v>9</v>
      </c>
      <c r="D49">
        <v>9</v>
      </c>
      <c r="E49">
        <f t="shared" si="3"/>
        <v>0</v>
      </c>
      <c r="H49">
        <v>0.5</v>
      </c>
    </row>
    <row r="50" spans="1:8" x14ac:dyDescent="0.25">
      <c r="A50">
        <v>12</v>
      </c>
      <c r="B50">
        <v>4</v>
      </c>
      <c r="C50">
        <v>8</v>
      </c>
      <c r="D50">
        <v>9</v>
      </c>
      <c r="E50">
        <f t="shared" si="3"/>
        <v>-1</v>
      </c>
      <c r="F50">
        <f>(1+(C50-D50)/ABS(C50-D50))/2</f>
        <v>0</v>
      </c>
      <c r="G50">
        <v>1</v>
      </c>
      <c r="H50">
        <v>0</v>
      </c>
    </row>
    <row r="51" spans="1:8" x14ac:dyDescent="0.25">
      <c r="A51">
        <v>13</v>
      </c>
      <c r="B51">
        <v>1</v>
      </c>
      <c r="C51">
        <v>10</v>
      </c>
      <c r="D51">
        <v>6</v>
      </c>
      <c r="E51">
        <f t="shared" si="3"/>
        <v>4</v>
      </c>
      <c r="F51">
        <f>(1+(C51-D51)/ABS(C51-D51))/2</f>
        <v>1</v>
      </c>
      <c r="G51">
        <v>1</v>
      </c>
      <c r="H51">
        <v>1</v>
      </c>
    </row>
    <row r="52" spans="1:8" x14ac:dyDescent="0.25">
      <c r="A52">
        <v>13</v>
      </c>
      <c r="B52">
        <v>2</v>
      </c>
      <c r="C52">
        <v>6</v>
      </c>
      <c r="D52">
        <v>8</v>
      </c>
      <c r="E52">
        <f t="shared" si="3"/>
        <v>-2</v>
      </c>
      <c r="F52">
        <f>(1+(C52-D52)/ABS(C52-D52))/2</f>
        <v>0</v>
      </c>
      <c r="G52">
        <v>1</v>
      </c>
      <c r="H52">
        <v>0</v>
      </c>
    </row>
    <row r="53" spans="1:8" x14ac:dyDescent="0.25">
      <c r="A53">
        <v>13</v>
      </c>
      <c r="B53">
        <v>3</v>
      </c>
      <c r="C53">
        <v>10</v>
      </c>
      <c r="D53">
        <v>10</v>
      </c>
      <c r="E53">
        <f t="shared" si="3"/>
        <v>0</v>
      </c>
      <c r="H53">
        <v>0.5</v>
      </c>
    </row>
    <row r="54" spans="1:8" x14ac:dyDescent="0.25">
      <c r="A54">
        <v>13</v>
      </c>
      <c r="B54">
        <v>4</v>
      </c>
      <c r="C54">
        <v>10</v>
      </c>
      <c r="D54">
        <v>10</v>
      </c>
      <c r="E54">
        <f t="shared" si="3"/>
        <v>0</v>
      </c>
      <c r="H54">
        <v>0.5</v>
      </c>
    </row>
    <row r="55" spans="1:8" x14ac:dyDescent="0.25">
      <c r="A55">
        <v>14</v>
      </c>
      <c r="B55">
        <v>1</v>
      </c>
      <c r="C55">
        <v>10</v>
      </c>
      <c r="D55">
        <v>3</v>
      </c>
      <c r="E55">
        <f t="shared" si="3"/>
        <v>7</v>
      </c>
      <c r="F55">
        <f>(1+(C55-D55)/ABS(C55-D55))/2</f>
        <v>1</v>
      </c>
      <c r="G55">
        <v>1</v>
      </c>
      <c r="H55">
        <v>1</v>
      </c>
    </row>
    <row r="56" spans="1:8" x14ac:dyDescent="0.25">
      <c r="A56">
        <v>14</v>
      </c>
      <c r="B56">
        <v>2</v>
      </c>
      <c r="C56">
        <v>8</v>
      </c>
      <c r="D56">
        <v>9</v>
      </c>
      <c r="E56">
        <f t="shared" si="3"/>
        <v>-1</v>
      </c>
      <c r="F56">
        <f>(1+(C56-D56)/ABS(C56-D56))/2</f>
        <v>0</v>
      </c>
      <c r="G56">
        <v>1</v>
      </c>
      <c r="H56">
        <v>0</v>
      </c>
    </row>
    <row r="57" spans="1:8" x14ac:dyDescent="0.25">
      <c r="A57">
        <v>14</v>
      </c>
      <c r="B57">
        <v>3</v>
      </c>
      <c r="C57">
        <v>8</v>
      </c>
      <c r="D57">
        <v>8</v>
      </c>
      <c r="E57">
        <f t="shared" si="3"/>
        <v>0</v>
      </c>
      <c r="H57">
        <v>0.5</v>
      </c>
    </row>
    <row r="58" spans="1:8" x14ac:dyDescent="0.25">
      <c r="A58">
        <v>14</v>
      </c>
      <c r="B58">
        <v>4</v>
      </c>
      <c r="C58">
        <v>9</v>
      </c>
      <c r="D58">
        <v>10</v>
      </c>
      <c r="E58">
        <f t="shared" si="3"/>
        <v>-1</v>
      </c>
      <c r="F58">
        <f t="shared" ref="F58:F63" si="5">(1+(C58-D58)/ABS(C58-D58))/2</f>
        <v>0</v>
      </c>
      <c r="G58">
        <v>1</v>
      </c>
      <c r="H58">
        <v>0</v>
      </c>
    </row>
    <row r="59" spans="1:8" x14ac:dyDescent="0.25">
      <c r="A59">
        <v>15</v>
      </c>
      <c r="B59">
        <v>1</v>
      </c>
      <c r="C59">
        <v>10</v>
      </c>
      <c r="D59">
        <v>8</v>
      </c>
      <c r="E59">
        <f t="shared" si="3"/>
        <v>2</v>
      </c>
      <c r="F59">
        <f t="shared" si="5"/>
        <v>1</v>
      </c>
      <c r="G59">
        <v>1</v>
      </c>
      <c r="H59">
        <v>1</v>
      </c>
    </row>
    <row r="60" spans="1:8" x14ac:dyDescent="0.25">
      <c r="A60">
        <v>15</v>
      </c>
      <c r="B60">
        <v>2</v>
      </c>
      <c r="C60">
        <v>9</v>
      </c>
      <c r="D60">
        <v>10</v>
      </c>
      <c r="E60">
        <f t="shared" si="3"/>
        <v>-1</v>
      </c>
      <c r="F60">
        <f t="shared" si="5"/>
        <v>0</v>
      </c>
      <c r="G60">
        <v>1</v>
      </c>
      <c r="H60">
        <v>0</v>
      </c>
    </row>
    <row r="61" spans="1:8" x14ac:dyDescent="0.25">
      <c r="A61">
        <v>15</v>
      </c>
      <c r="B61">
        <v>3</v>
      </c>
      <c r="C61">
        <v>9</v>
      </c>
      <c r="D61">
        <v>10</v>
      </c>
      <c r="E61">
        <f t="shared" si="3"/>
        <v>-1</v>
      </c>
      <c r="F61">
        <f t="shared" si="5"/>
        <v>0</v>
      </c>
      <c r="G61">
        <v>1</v>
      </c>
      <c r="H61">
        <v>0</v>
      </c>
    </row>
    <row r="62" spans="1:8" x14ac:dyDescent="0.25">
      <c r="A62">
        <v>15</v>
      </c>
      <c r="B62">
        <v>4</v>
      </c>
      <c r="C62">
        <v>9</v>
      </c>
      <c r="D62">
        <v>10</v>
      </c>
      <c r="E62">
        <f t="shared" si="3"/>
        <v>-1</v>
      </c>
      <c r="F62">
        <f t="shared" si="5"/>
        <v>0</v>
      </c>
      <c r="G62">
        <v>1</v>
      </c>
      <c r="H62">
        <v>0</v>
      </c>
    </row>
    <row r="63" spans="1:8" x14ac:dyDescent="0.25">
      <c r="A63">
        <v>16</v>
      </c>
      <c r="B63">
        <v>1</v>
      </c>
      <c r="C63">
        <v>10</v>
      </c>
      <c r="D63">
        <v>3</v>
      </c>
      <c r="E63">
        <f t="shared" si="3"/>
        <v>7</v>
      </c>
      <c r="F63">
        <f t="shared" si="5"/>
        <v>1</v>
      </c>
      <c r="G63">
        <v>1</v>
      </c>
      <c r="H63">
        <v>1</v>
      </c>
    </row>
    <row r="64" spans="1:8" x14ac:dyDescent="0.25">
      <c r="A64">
        <v>16</v>
      </c>
      <c r="B64">
        <v>2</v>
      </c>
      <c r="C64">
        <v>9</v>
      </c>
      <c r="D64">
        <v>9</v>
      </c>
      <c r="E64">
        <f t="shared" si="3"/>
        <v>0</v>
      </c>
      <c r="H64">
        <v>0.5</v>
      </c>
    </row>
    <row r="65" spans="1:8" x14ac:dyDescent="0.25">
      <c r="A65">
        <v>16</v>
      </c>
      <c r="B65">
        <v>3</v>
      </c>
      <c r="C65">
        <v>10</v>
      </c>
      <c r="D65">
        <v>10</v>
      </c>
      <c r="E65">
        <f t="shared" si="3"/>
        <v>0</v>
      </c>
      <c r="H65">
        <v>0.5</v>
      </c>
    </row>
    <row r="66" spans="1:8" x14ac:dyDescent="0.25">
      <c r="A66">
        <v>16</v>
      </c>
      <c r="B66">
        <v>4</v>
      </c>
      <c r="C66">
        <v>10</v>
      </c>
      <c r="D66">
        <v>1</v>
      </c>
      <c r="E66">
        <f t="shared" si="3"/>
        <v>9</v>
      </c>
      <c r="F66">
        <f>(1+(C66-D66)/ABS(C66-D66))/2</f>
        <v>1</v>
      </c>
      <c r="G66">
        <v>1</v>
      </c>
      <c r="H66">
        <v>1</v>
      </c>
    </row>
    <row r="67" spans="1:8" x14ac:dyDescent="0.25">
      <c r="A67">
        <v>17</v>
      </c>
      <c r="B67">
        <v>1</v>
      </c>
      <c r="C67">
        <v>8</v>
      </c>
      <c r="D67">
        <v>6</v>
      </c>
      <c r="E67">
        <f t="shared" ref="E67:E98" si="6">C67-D67</f>
        <v>2</v>
      </c>
      <c r="F67">
        <f>(1+(C67-D67)/ABS(C67-D67))/2</f>
        <v>1</v>
      </c>
      <c r="G67">
        <v>1</v>
      </c>
      <c r="H67">
        <v>1</v>
      </c>
    </row>
    <row r="68" spans="1:8" x14ac:dyDescent="0.25">
      <c r="A68">
        <v>17</v>
      </c>
      <c r="B68">
        <v>2</v>
      </c>
      <c r="C68">
        <v>7</v>
      </c>
      <c r="D68">
        <v>9</v>
      </c>
      <c r="E68">
        <f t="shared" si="6"/>
        <v>-2</v>
      </c>
      <c r="F68">
        <f>(1+(C68-D68)/ABS(C68-D68))/2</f>
        <v>0</v>
      </c>
      <c r="G68">
        <v>1</v>
      </c>
      <c r="H68">
        <v>0</v>
      </c>
    </row>
    <row r="69" spans="1:8" x14ac:dyDescent="0.25">
      <c r="A69">
        <v>17</v>
      </c>
      <c r="B69">
        <v>3</v>
      </c>
      <c r="C69">
        <v>7</v>
      </c>
      <c r="D69">
        <v>9</v>
      </c>
      <c r="E69">
        <f t="shared" si="6"/>
        <v>-2</v>
      </c>
      <c r="F69">
        <f>(1+(C69-D69)/ABS(C69-D69))/2</f>
        <v>0</v>
      </c>
      <c r="G69">
        <v>1</v>
      </c>
      <c r="H69">
        <v>0</v>
      </c>
    </row>
    <row r="70" spans="1:8" x14ac:dyDescent="0.25">
      <c r="A70">
        <v>17</v>
      </c>
      <c r="B70">
        <v>4</v>
      </c>
      <c r="C70">
        <v>8</v>
      </c>
      <c r="D70">
        <v>8</v>
      </c>
      <c r="E70">
        <f t="shared" si="6"/>
        <v>0</v>
      </c>
      <c r="H70">
        <v>0.5</v>
      </c>
    </row>
    <row r="71" spans="1:8" x14ac:dyDescent="0.25">
      <c r="A71">
        <v>18</v>
      </c>
      <c r="B71">
        <v>1</v>
      </c>
      <c r="C71">
        <v>7</v>
      </c>
      <c r="D71">
        <v>5</v>
      </c>
      <c r="E71">
        <f t="shared" si="6"/>
        <v>2</v>
      </c>
      <c r="F71">
        <f>(1+(C71-D71)/ABS(C71-D71))/2</f>
        <v>1</v>
      </c>
      <c r="G71">
        <v>1</v>
      </c>
      <c r="H71">
        <v>1</v>
      </c>
    </row>
    <row r="72" spans="1:8" x14ac:dyDescent="0.25">
      <c r="A72">
        <v>18</v>
      </c>
      <c r="B72">
        <v>2</v>
      </c>
      <c r="C72">
        <v>7</v>
      </c>
      <c r="D72">
        <v>6</v>
      </c>
      <c r="E72">
        <f t="shared" si="6"/>
        <v>1</v>
      </c>
      <c r="F72">
        <f>(1+(C72-D72)/ABS(C72-D72))/2</f>
        <v>1</v>
      </c>
      <c r="G72">
        <v>1</v>
      </c>
      <c r="H72">
        <v>1</v>
      </c>
    </row>
    <row r="73" spans="1:8" x14ac:dyDescent="0.25">
      <c r="A73">
        <v>18</v>
      </c>
      <c r="B73">
        <v>3</v>
      </c>
      <c r="C73">
        <v>7</v>
      </c>
      <c r="D73">
        <v>7</v>
      </c>
      <c r="E73">
        <f t="shared" si="6"/>
        <v>0</v>
      </c>
      <c r="H73">
        <v>0.5</v>
      </c>
    </row>
    <row r="74" spans="1:8" x14ac:dyDescent="0.25">
      <c r="A74">
        <v>18</v>
      </c>
      <c r="B74">
        <v>4</v>
      </c>
      <c r="C74">
        <v>7</v>
      </c>
      <c r="D74">
        <v>7</v>
      </c>
      <c r="E74">
        <f t="shared" si="6"/>
        <v>0</v>
      </c>
      <c r="H74">
        <v>0.5</v>
      </c>
    </row>
    <row r="75" spans="1:8" x14ac:dyDescent="0.25">
      <c r="A75">
        <v>19</v>
      </c>
      <c r="B75">
        <v>1</v>
      </c>
      <c r="C75">
        <v>8</v>
      </c>
      <c r="D75">
        <v>4</v>
      </c>
      <c r="E75">
        <f t="shared" si="6"/>
        <v>4</v>
      </c>
      <c r="F75">
        <f t="shared" ref="F75:F80" si="7">(1+(C75-D75)/ABS(C75-D75))/2</f>
        <v>1</v>
      </c>
      <c r="G75">
        <v>1</v>
      </c>
      <c r="H75">
        <v>1</v>
      </c>
    </row>
    <row r="76" spans="1:8" x14ac:dyDescent="0.25">
      <c r="A76">
        <v>19</v>
      </c>
      <c r="B76">
        <v>2</v>
      </c>
      <c r="C76">
        <v>5</v>
      </c>
      <c r="D76">
        <v>8</v>
      </c>
      <c r="E76">
        <f t="shared" si="6"/>
        <v>-3</v>
      </c>
      <c r="F76">
        <f t="shared" si="7"/>
        <v>0</v>
      </c>
      <c r="G76">
        <v>1</v>
      </c>
      <c r="H76">
        <v>0</v>
      </c>
    </row>
    <row r="77" spans="1:8" x14ac:dyDescent="0.25">
      <c r="A77">
        <v>19</v>
      </c>
      <c r="B77">
        <v>3</v>
      </c>
      <c r="C77">
        <v>8</v>
      </c>
      <c r="D77">
        <v>7</v>
      </c>
      <c r="E77">
        <f t="shared" si="6"/>
        <v>1</v>
      </c>
      <c r="F77">
        <f t="shared" si="7"/>
        <v>1</v>
      </c>
      <c r="G77">
        <v>1</v>
      </c>
      <c r="H77">
        <v>1</v>
      </c>
    </row>
    <row r="78" spans="1:8" x14ac:dyDescent="0.25">
      <c r="A78">
        <v>19</v>
      </c>
      <c r="B78">
        <v>4</v>
      </c>
      <c r="C78">
        <v>7</v>
      </c>
      <c r="D78">
        <v>9</v>
      </c>
      <c r="E78">
        <f t="shared" si="6"/>
        <v>-2</v>
      </c>
      <c r="F78">
        <f t="shared" si="7"/>
        <v>0</v>
      </c>
      <c r="G78">
        <v>1</v>
      </c>
      <c r="H78">
        <v>0</v>
      </c>
    </row>
    <row r="79" spans="1:8" x14ac:dyDescent="0.25">
      <c r="A79">
        <v>20</v>
      </c>
      <c r="B79">
        <v>1</v>
      </c>
      <c r="C79">
        <v>5</v>
      </c>
      <c r="D79">
        <v>2</v>
      </c>
      <c r="E79">
        <f t="shared" si="6"/>
        <v>3</v>
      </c>
      <c r="F79">
        <f t="shared" si="7"/>
        <v>1</v>
      </c>
      <c r="G79">
        <v>1</v>
      </c>
      <c r="H79">
        <v>1</v>
      </c>
    </row>
    <row r="80" spans="1:8" x14ac:dyDescent="0.25">
      <c r="A80">
        <v>20</v>
      </c>
      <c r="B80">
        <v>2</v>
      </c>
      <c r="C80">
        <v>2</v>
      </c>
      <c r="D80">
        <v>4</v>
      </c>
      <c r="E80">
        <f t="shared" si="6"/>
        <v>-2</v>
      </c>
      <c r="F80">
        <f t="shared" si="7"/>
        <v>0</v>
      </c>
      <c r="G80">
        <v>1</v>
      </c>
      <c r="H80">
        <v>0</v>
      </c>
    </row>
    <row r="81" spans="1:8" x14ac:dyDescent="0.25">
      <c r="A81">
        <v>20</v>
      </c>
      <c r="B81">
        <v>3</v>
      </c>
      <c r="C81">
        <v>4</v>
      </c>
      <c r="D81">
        <v>4</v>
      </c>
      <c r="E81">
        <f t="shared" si="6"/>
        <v>0</v>
      </c>
      <c r="H81">
        <v>0.5</v>
      </c>
    </row>
    <row r="82" spans="1:8" x14ac:dyDescent="0.25">
      <c r="A82">
        <v>20</v>
      </c>
      <c r="B82">
        <v>4</v>
      </c>
      <c r="C82">
        <v>5</v>
      </c>
      <c r="D82">
        <v>5</v>
      </c>
      <c r="E82">
        <f t="shared" si="6"/>
        <v>0</v>
      </c>
      <c r="H82">
        <v>0.5</v>
      </c>
    </row>
    <row r="83" spans="1:8" x14ac:dyDescent="0.25">
      <c r="A83">
        <v>21</v>
      </c>
      <c r="B83">
        <v>1</v>
      </c>
      <c r="C83">
        <v>10</v>
      </c>
      <c r="D83">
        <v>5</v>
      </c>
      <c r="E83">
        <f t="shared" si="6"/>
        <v>5</v>
      </c>
      <c r="F83">
        <f>(1+(C83-D83)/ABS(C83-D83))/2</f>
        <v>1</v>
      </c>
      <c r="G83">
        <v>1</v>
      </c>
      <c r="H83">
        <v>1</v>
      </c>
    </row>
    <row r="84" spans="1:8" x14ac:dyDescent="0.25">
      <c r="A84">
        <v>21</v>
      </c>
      <c r="B84">
        <v>2</v>
      </c>
      <c r="C84">
        <v>4</v>
      </c>
      <c r="D84">
        <v>10</v>
      </c>
      <c r="E84">
        <f t="shared" si="6"/>
        <v>-6</v>
      </c>
      <c r="F84">
        <f>(1+(C84-D84)/ABS(C84-D84))/2</f>
        <v>0</v>
      </c>
      <c r="G84">
        <v>1</v>
      </c>
      <c r="H84">
        <v>0</v>
      </c>
    </row>
    <row r="85" spans="1:8" x14ac:dyDescent="0.25">
      <c r="A85">
        <v>21</v>
      </c>
      <c r="B85">
        <v>3</v>
      </c>
      <c r="C85">
        <v>10</v>
      </c>
      <c r="D85">
        <v>10</v>
      </c>
      <c r="E85">
        <f t="shared" si="6"/>
        <v>0</v>
      </c>
      <c r="H85">
        <v>0.5</v>
      </c>
    </row>
    <row r="86" spans="1:8" x14ac:dyDescent="0.25">
      <c r="A86">
        <v>21</v>
      </c>
      <c r="B86">
        <v>4</v>
      </c>
      <c r="C86">
        <v>9</v>
      </c>
      <c r="D86">
        <v>10</v>
      </c>
      <c r="E86">
        <f t="shared" si="6"/>
        <v>-1</v>
      </c>
      <c r="F86">
        <f>(1+(C86-D86)/ABS(C86-D86))/2</f>
        <v>0</v>
      </c>
      <c r="G86">
        <v>1</v>
      </c>
      <c r="H86">
        <v>0</v>
      </c>
    </row>
    <row r="87" spans="1:8" x14ac:dyDescent="0.25">
      <c r="A87">
        <v>22</v>
      </c>
      <c r="B87">
        <v>1</v>
      </c>
      <c r="C87">
        <v>6</v>
      </c>
      <c r="D87">
        <v>3</v>
      </c>
      <c r="E87">
        <f t="shared" si="6"/>
        <v>3</v>
      </c>
      <c r="F87">
        <f>(1+(C87-D87)/ABS(C87-D87))/2</f>
        <v>1</v>
      </c>
      <c r="G87">
        <v>1</v>
      </c>
      <c r="H87">
        <v>1</v>
      </c>
    </row>
    <row r="88" spans="1:8" x14ac:dyDescent="0.25">
      <c r="A88">
        <v>22</v>
      </c>
      <c r="B88">
        <v>2</v>
      </c>
      <c r="C88">
        <v>6</v>
      </c>
      <c r="D88">
        <v>7</v>
      </c>
      <c r="E88">
        <f t="shared" si="6"/>
        <v>-1</v>
      </c>
      <c r="F88">
        <f>(1+(C88-D88)/ABS(C88-D88))/2</f>
        <v>0</v>
      </c>
      <c r="G88">
        <v>1</v>
      </c>
      <c r="H88">
        <v>0</v>
      </c>
    </row>
    <row r="89" spans="1:8" x14ac:dyDescent="0.25">
      <c r="A89">
        <v>22</v>
      </c>
      <c r="B89">
        <v>3</v>
      </c>
      <c r="C89">
        <v>7</v>
      </c>
      <c r="D89">
        <v>7</v>
      </c>
      <c r="E89">
        <f t="shared" si="6"/>
        <v>0</v>
      </c>
      <c r="H89">
        <v>0.5</v>
      </c>
    </row>
    <row r="90" spans="1:8" x14ac:dyDescent="0.25">
      <c r="A90">
        <v>22</v>
      </c>
      <c r="B90">
        <v>4</v>
      </c>
      <c r="C90">
        <v>7</v>
      </c>
      <c r="D90">
        <v>7</v>
      </c>
      <c r="E90">
        <f t="shared" si="6"/>
        <v>0</v>
      </c>
      <c r="H90">
        <v>0.5</v>
      </c>
    </row>
    <row r="91" spans="1:8" x14ac:dyDescent="0.25">
      <c r="A91">
        <v>23</v>
      </c>
      <c r="B91">
        <v>1</v>
      </c>
      <c r="C91">
        <v>9</v>
      </c>
      <c r="D91">
        <v>9</v>
      </c>
      <c r="E91">
        <f t="shared" si="6"/>
        <v>0</v>
      </c>
      <c r="H91">
        <v>0.5</v>
      </c>
    </row>
    <row r="92" spans="1:8" x14ac:dyDescent="0.25">
      <c r="A92">
        <v>23</v>
      </c>
      <c r="B92">
        <v>2</v>
      </c>
      <c r="C92">
        <v>9</v>
      </c>
      <c r="D92">
        <v>10</v>
      </c>
      <c r="E92">
        <f t="shared" si="6"/>
        <v>-1</v>
      </c>
      <c r="F92">
        <f>(1+(C92-D92)/ABS(C92-D92))/2</f>
        <v>0</v>
      </c>
      <c r="G92">
        <v>1</v>
      </c>
      <c r="H92">
        <v>0</v>
      </c>
    </row>
    <row r="93" spans="1:8" x14ac:dyDescent="0.25">
      <c r="A93">
        <v>23</v>
      </c>
      <c r="B93">
        <v>3</v>
      </c>
      <c r="C93">
        <v>9</v>
      </c>
      <c r="D93">
        <v>5</v>
      </c>
      <c r="E93">
        <f t="shared" si="6"/>
        <v>4</v>
      </c>
      <c r="F93">
        <f>(1+(C93-D93)/ABS(C93-D93))/2</f>
        <v>1</v>
      </c>
      <c r="G93">
        <v>1</v>
      </c>
      <c r="H93">
        <v>1</v>
      </c>
    </row>
    <row r="94" spans="1:8" x14ac:dyDescent="0.25">
      <c r="A94">
        <v>23</v>
      </c>
      <c r="B94">
        <v>4</v>
      </c>
      <c r="C94">
        <v>10</v>
      </c>
      <c r="D94">
        <v>9</v>
      </c>
      <c r="E94">
        <f t="shared" si="6"/>
        <v>1</v>
      </c>
      <c r="F94">
        <f>(1+(C94-D94)/ABS(C94-D94))/2</f>
        <v>1</v>
      </c>
      <c r="G94">
        <v>1</v>
      </c>
      <c r="H94">
        <v>1</v>
      </c>
    </row>
    <row r="95" spans="1:8" x14ac:dyDescent="0.25">
      <c r="A95">
        <v>24</v>
      </c>
      <c r="B95">
        <v>1</v>
      </c>
      <c r="C95">
        <v>9</v>
      </c>
      <c r="D95">
        <v>4</v>
      </c>
      <c r="E95">
        <f t="shared" si="6"/>
        <v>5</v>
      </c>
      <c r="F95">
        <f>(1+(C95-D95)/ABS(C95-D95))/2</f>
        <v>1</v>
      </c>
      <c r="G95">
        <v>1</v>
      </c>
      <c r="H95">
        <v>1</v>
      </c>
    </row>
    <row r="96" spans="1:8" x14ac:dyDescent="0.25">
      <c r="A96">
        <v>24</v>
      </c>
      <c r="B96">
        <v>2</v>
      </c>
      <c r="C96">
        <v>10</v>
      </c>
      <c r="D96">
        <v>10</v>
      </c>
      <c r="E96">
        <f t="shared" si="6"/>
        <v>0</v>
      </c>
      <c r="H96">
        <v>0.5</v>
      </c>
    </row>
    <row r="97" spans="1:8" x14ac:dyDescent="0.25">
      <c r="A97">
        <v>24</v>
      </c>
      <c r="B97">
        <v>3</v>
      </c>
      <c r="C97">
        <v>10</v>
      </c>
      <c r="D97">
        <v>10</v>
      </c>
      <c r="E97">
        <f t="shared" si="6"/>
        <v>0</v>
      </c>
      <c r="H97">
        <v>0.5</v>
      </c>
    </row>
    <row r="98" spans="1:8" x14ac:dyDescent="0.25">
      <c r="A98">
        <v>24</v>
      </c>
      <c r="B98">
        <v>4</v>
      </c>
      <c r="C98">
        <v>9</v>
      </c>
      <c r="D98">
        <v>10</v>
      </c>
      <c r="E98">
        <f t="shared" si="6"/>
        <v>-1</v>
      </c>
      <c r="F98">
        <f>(1+(C98-D98)/ABS(C98-D98))/2</f>
        <v>0</v>
      </c>
      <c r="G98">
        <v>1</v>
      </c>
      <c r="H98">
        <v>0</v>
      </c>
    </row>
    <row r="99" spans="1:8" x14ac:dyDescent="0.25">
      <c r="A99">
        <v>25</v>
      </c>
      <c r="B99">
        <v>1</v>
      </c>
      <c r="C99">
        <v>9</v>
      </c>
      <c r="D99">
        <v>3</v>
      </c>
      <c r="E99">
        <f t="shared" ref="E99:E130" si="8">C99-D99</f>
        <v>6</v>
      </c>
      <c r="F99">
        <f>(1+(C99-D99)/ABS(C99-D99))/2</f>
        <v>1</v>
      </c>
      <c r="G99">
        <v>1</v>
      </c>
      <c r="H99">
        <v>1</v>
      </c>
    </row>
    <row r="100" spans="1:8" x14ac:dyDescent="0.25">
      <c r="A100">
        <v>25</v>
      </c>
      <c r="B100">
        <v>2</v>
      </c>
      <c r="C100">
        <v>9</v>
      </c>
      <c r="D100">
        <v>9</v>
      </c>
      <c r="E100">
        <f t="shared" si="8"/>
        <v>0</v>
      </c>
      <c r="H100">
        <v>0.5</v>
      </c>
    </row>
    <row r="101" spans="1:8" x14ac:dyDescent="0.25">
      <c r="A101">
        <v>25</v>
      </c>
      <c r="B101">
        <v>3</v>
      </c>
      <c r="C101">
        <v>5</v>
      </c>
      <c r="D101">
        <v>9</v>
      </c>
      <c r="E101">
        <f t="shared" si="8"/>
        <v>-4</v>
      </c>
      <c r="F101">
        <f>(1+(C101-D101)/ABS(C101-D101))/2</f>
        <v>0</v>
      </c>
      <c r="G101">
        <v>1</v>
      </c>
      <c r="H101">
        <v>0</v>
      </c>
    </row>
    <row r="102" spans="1:8" x14ac:dyDescent="0.25">
      <c r="A102">
        <v>25</v>
      </c>
      <c r="B102">
        <v>4</v>
      </c>
      <c r="C102">
        <v>9</v>
      </c>
      <c r="D102">
        <v>9</v>
      </c>
      <c r="E102">
        <f t="shared" si="8"/>
        <v>0</v>
      </c>
      <c r="H102">
        <v>0.5</v>
      </c>
    </row>
    <row r="103" spans="1:8" x14ac:dyDescent="0.25">
      <c r="A103">
        <v>26</v>
      </c>
      <c r="B103">
        <v>1</v>
      </c>
      <c r="C103">
        <v>7</v>
      </c>
      <c r="D103">
        <v>5</v>
      </c>
      <c r="E103">
        <f t="shared" si="8"/>
        <v>2</v>
      </c>
      <c r="F103">
        <f>(1+(C103-D103)/ABS(C103-D103))/2</f>
        <v>1</v>
      </c>
      <c r="G103">
        <v>1</v>
      </c>
      <c r="H103">
        <v>1</v>
      </c>
    </row>
    <row r="104" spans="1:8" x14ac:dyDescent="0.25">
      <c r="A104">
        <v>26</v>
      </c>
      <c r="B104">
        <v>2</v>
      </c>
      <c r="C104">
        <v>8</v>
      </c>
      <c r="D104">
        <v>10</v>
      </c>
      <c r="E104">
        <f t="shared" si="8"/>
        <v>-2</v>
      </c>
      <c r="F104">
        <f>(1+(C104-D104)/ABS(C104-D104))/2</f>
        <v>0</v>
      </c>
      <c r="G104">
        <v>1</v>
      </c>
      <c r="H104">
        <v>0</v>
      </c>
    </row>
    <row r="105" spans="1:8" x14ac:dyDescent="0.25">
      <c r="A105">
        <v>26</v>
      </c>
      <c r="B105">
        <v>3</v>
      </c>
      <c r="C105">
        <v>8</v>
      </c>
      <c r="D105">
        <v>7</v>
      </c>
      <c r="E105">
        <f t="shared" si="8"/>
        <v>1</v>
      </c>
      <c r="F105">
        <f>(1+(C105-D105)/ABS(C105-D105))/2</f>
        <v>1</v>
      </c>
      <c r="G105">
        <v>1</v>
      </c>
      <c r="H105">
        <v>1</v>
      </c>
    </row>
    <row r="106" spans="1:8" x14ac:dyDescent="0.25">
      <c r="A106">
        <v>26</v>
      </c>
      <c r="B106">
        <v>4</v>
      </c>
      <c r="C106">
        <v>9</v>
      </c>
      <c r="D106">
        <v>7</v>
      </c>
      <c r="E106">
        <f t="shared" si="8"/>
        <v>2</v>
      </c>
      <c r="F106">
        <f>(1+(C106-D106)/ABS(C106-D106))/2</f>
        <v>1</v>
      </c>
      <c r="G106">
        <v>1</v>
      </c>
      <c r="H106">
        <v>1</v>
      </c>
    </row>
    <row r="107" spans="1:8" x14ac:dyDescent="0.25">
      <c r="A107">
        <v>27</v>
      </c>
      <c r="B107">
        <v>1</v>
      </c>
      <c r="C107">
        <v>8</v>
      </c>
      <c r="D107">
        <v>8</v>
      </c>
      <c r="E107">
        <f t="shared" si="8"/>
        <v>0</v>
      </c>
      <c r="H107">
        <v>0.5</v>
      </c>
    </row>
    <row r="108" spans="1:8" x14ac:dyDescent="0.25">
      <c r="A108">
        <v>27</v>
      </c>
      <c r="B108">
        <v>2</v>
      </c>
      <c r="C108">
        <v>7</v>
      </c>
      <c r="D108">
        <v>8</v>
      </c>
      <c r="E108">
        <f t="shared" si="8"/>
        <v>-1</v>
      </c>
      <c r="F108">
        <f>(1+(C108-D108)/ABS(C108-D108))/2</f>
        <v>0</v>
      </c>
      <c r="G108">
        <v>1</v>
      </c>
      <c r="H108">
        <v>0</v>
      </c>
    </row>
    <row r="109" spans="1:8" x14ac:dyDescent="0.25">
      <c r="A109">
        <v>27</v>
      </c>
      <c r="B109">
        <v>3</v>
      </c>
      <c r="C109">
        <v>7</v>
      </c>
      <c r="D109">
        <v>7</v>
      </c>
      <c r="E109">
        <f t="shared" si="8"/>
        <v>0</v>
      </c>
      <c r="H109">
        <v>0.5</v>
      </c>
    </row>
    <row r="110" spans="1:8" x14ac:dyDescent="0.25">
      <c r="A110">
        <v>27</v>
      </c>
      <c r="B110">
        <v>4</v>
      </c>
      <c r="C110">
        <v>7</v>
      </c>
      <c r="D110">
        <v>8</v>
      </c>
      <c r="E110">
        <f t="shared" si="8"/>
        <v>-1</v>
      </c>
      <c r="F110">
        <f>(1+(C110-D110)/ABS(C110-D110))/2</f>
        <v>0</v>
      </c>
      <c r="G110">
        <v>1</v>
      </c>
      <c r="H110">
        <v>0</v>
      </c>
    </row>
    <row r="111" spans="1:8" x14ac:dyDescent="0.25">
      <c r="A111">
        <v>28</v>
      </c>
      <c r="B111">
        <v>1</v>
      </c>
      <c r="C111">
        <v>9</v>
      </c>
      <c r="D111">
        <v>5</v>
      </c>
      <c r="E111">
        <f t="shared" si="8"/>
        <v>4</v>
      </c>
      <c r="F111">
        <f>(1+(C111-D111)/ABS(C111-D111))/2</f>
        <v>1</v>
      </c>
      <c r="G111">
        <v>1</v>
      </c>
      <c r="H111">
        <v>1</v>
      </c>
    </row>
    <row r="112" spans="1:8" x14ac:dyDescent="0.25">
      <c r="A112">
        <v>28</v>
      </c>
      <c r="B112">
        <v>2</v>
      </c>
      <c r="C112">
        <v>6</v>
      </c>
      <c r="D112">
        <v>8</v>
      </c>
      <c r="E112">
        <f t="shared" si="8"/>
        <v>-2</v>
      </c>
      <c r="F112">
        <f>(1+(C112-D112)/ABS(C112-D112))/2</f>
        <v>0</v>
      </c>
      <c r="G112">
        <v>1</v>
      </c>
      <c r="H112">
        <v>0</v>
      </c>
    </row>
    <row r="113" spans="1:8" x14ac:dyDescent="0.25">
      <c r="A113">
        <v>28</v>
      </c>
      <c r="B113">
        <v>3</v>
      </c>
      <c r="C113">
        <v>7</v>
      </c>
      <c r="D113">
        <v>6</v>
      </c>
      <c r="E113">
        <f t="shared" si="8"/>
        <v>1</v>
      </c>
      <c r="F113">
        <f>(1+(C113-D113)/ABS(C113-D113))/2</f>
        <v>1</v>
      </c>
      <c r="G113">
        <v>1</v>
      </c>
      <c r="H113">
        <v>1</v>
      </c>
    </row>
    <row r="114" spans="1:8" x14ac:dyDescent="0.25">
      <c r="A114">
        <v>28</v>
      </c>
      <c r="B114">
        <v>4</v>
      </c>
      <c r="C114">
        <v>8</v>
      </c>
      <c r="D114">
        <v>8</v>
      </c>
      <c r="E114">
        <f t="shared" si="8"/>
        <v>0</v>
      </c>
      <c r="H114">
        <v>0.5</v>
      </c>
    </row>
    <row r="115" spans="1:8" x14ac:dyDescent="0.25">
      <c r="A115">
        <v>29</v>
      </c>
      <c r="B115">
        <v>1</v>
      </c>
      <c r="C115">
        <v>7</v>
      </c>
      <c r="D115">
        <v>3</v>
      </c>
      <c r="E115">
        <f t="shared" si="8"/>
        <v>4</v>
      </c>
      <c r="F115">
        <f t="shared" ref="F115:F127" si="9">(1+(C115-D115)/ABS(C115-D115))/2</f>
        <v>1</v>
      </c>
      <c r="G115">
        <v>1</v>
      </c>
      <c r="H115">
        <v>1</v>
      </c>
    </row>
    <row r="116" spans="1:8" x14ac:dyDescent="0.25">
      <c r="A116">
        <v>29</v>
      </c>
      <c r="B116">
        <v>2</v>
      </c>
      <c r="C116">
        <v>6</v>
      </c>
      <c r="D116">
        <v>7</v>
      </c>
      <c r="E116">
        <f t="shared" si="8"/>
        <v>-1</v>
      </c>
      <c r="F116">
        <f t="shared" si="9"/>
        <v>0</v>
      </c>
      <c r="G116">
        <v>1</v>
      </c>
      <c r="H116">
        <v>0</v>
      </c>
    </row>
    <row r="117" spans="1:8" x14ac:dyDescent="0.25">
      <c r="A117">
        <v>29</v>
      </c>
      <c r="B117">
        <v>3</v>
      </c>
      <c r="C117">
        <v>6</v>
      </c>
      <c r="D117">
        <v>7</v>
      </c>
      <c r="E117">
        <f t="shared" si="8"/>
        <v>-1</v>
      </c>
      <c r="F117">
        <f t="shared" si="9"/>
        <v>0</v>
      </c>
      <c r="G117">
        <v>1</v>
      </c>
      <c r="H117">
        <v>0</v>
      </c>
    </row>
    <row r="118" spans="1:8" x14ac:dyDescent="0.25">
      <c r="A118">
        <v>29</v>
      </c>
      <c r="B118">
        <v>4</v>
      </c>
      <c r="C118">
        <v>6</v>
      </c>
      <c r="D118">
        <v>7</v>
      </c>
      <c r="E118">
        <f t="shared" si="8"/>
        <v>-1</v>
      </c>
      <c r="F118">
        <f t="shared" si="9"/>
        <v>0</v>
      </c>
      <c r="G118">
        <v>1</v>
      </c>
      <c r="H118">
        <v>0</v>
      </c>
    </row>
    <row r="119" spans="1:8" x14ac:dyDescent="0.25">
      <c r="A119">
        <v>30</v>
      </c>
      <c r="B119">
        <v>1</v>
      </c>
      <c r="C119">
        <v>10</v>
      </c>
      <c r="D119">
        <v>9</v>
      </c>
      <c r="E119">
        <f t="shared" si="8"/>
        <v>1</v>
      </c>
      <c r="F119">
        <f t="shared" si="9"/>
        <v>1</v>
      </c>
      <c r="G119">
        <v>1</v>
      </c>
      <c r="H119">
        <v>1</v>
      </c>
    </row>
    <row r="120" spans="1:8" x14ac:dyDescent="0.25">
      <c r="A120">
        <v>30</v>
      </c>
      <c r="B120">
        <v>2</v>
      </c>
      <c r="C120">
        <v>9</v>
      </c>
      <c r="D120">
        <v>10</v>
      </c>
      <c r="E120">
        <f t="shared" si="8"/>
        <v>-1</v>
      </c>
      <c r="F120">
        <f t="shared" si="9"/>
        <v>0</v>
      </c>
      <c r="G120">
        <v>1</v>
      </c>
      <c r="H120">
        <v>0</v>
      </c>
    </row>
    <row r="121" spans="1:8" x14ac:dyDescent="0.25">
      <c r="A121">
        <v>30</v>
      </c>
      <c r="B121">
        <v>3</v>
      </c>
      <c r="C121">
        <v>10</v>
      </c>
      <c r="D121">
        <v>9</v>
      </c>
      <c r="E121">
        <f t="shared" si="8"/>
        <v>1</v>
      </c>
      <c r="F121">
        <f t="shared" si="9"/>
        <v>1</v>
      </c>
      <c r="G121">
        <v>1</v>
      </c>
      <c r="H121">
        <v>1</v>
      </c>
    </row>
    <row r="122" spans="1:8" x14ac:dyDescent="0.25">
      <c r="A122">
        <v>30</v>
      </c>
      <c r="B122">
        <v>4</v>
      </c>
      <c r="C122">
        <v>9</v>
      </c>
      <c r="D122">
        <v>10</v>
      </c>
      <c r="E122">
        <f t="shared" si="8"/>
        <v>-1</v>
      </c>
      <c r="F122">
        <f t="shared" si="9"/>
        <v>0</v>
      </c>
      <c r="G122">
        <v>1</v>
      </c>
      <c r="H122">
        <v>0</v>
      </c>
    </row>
    <row r="123" spans="1:8" x14ac:dyDescent="0.25">
      <c r="A123">
        <v>31</v>
      </c>
      <c r="B123">
        <v>1</v>
      </c>
      <c r="C123">
        <v>10</v>
      </c>
      <c r="D123">
        <v>4</v>
      </c>
      <c r="E123">
        <f t="shared" si="8"/>
        <v>6</v>
      </c>
      <c r="F123">
        <f t="shared" si="9"/>
        <v>1</v>
      </c>
      <c r="G123">
        <v>1</v>
      </c>
      <c r="H123">
        <v>1</v>
      </c>
    </row>
    <row r="124" spans="1:8" x14ac:dyDescent="0.25">
      <c r="A124">
        <v>31</v>
      </c>
      <c r="B124">
        <v>2</v>
      </c>
      <c r="C124">
        <v>7</v>
      </c>
      <c r="D124">
        <v>8</v>
      </c>
      <c r="E124">
        <f t="shared" si="8"/>
        <v>-1</v>
      </c>
      <c r="F124">
        <f t="shared" si="9"/>
        <v>0</v>
      </c>
      <c r="G124">
        <v>1</v>
      </c>
      <c r="H124">
        <v>0</v>
      </c>
    </row>
    <row r="125" spans="1:8" x14ac:dyDescent="0.25">
      <c r="A125">
        <v>31</v>
      </c>
      <c r="B125">
        <v>3</v>
      </c>
      <c r="C125">
        <v>6</v>
      </c>
      <c r="D125">
        <v>10</v>
      </c>
      <c r="E125">
        <f t="shared" si="8"/>
        <v>-4</v>
      </c>
      <c r="F125">
        <f t="shared" si="9"/>
        <v>0</v>
      </c>
      <c r="G125">
        <v>1</v>
      </c>
      <c r="H125">
        <v>0</v>
      </c>
    </row>
    <row r="126" spans="1:8" x14ac:dyDescent="0.25">
      <c r="A126">
        <v>31</v>
      </c>
      <c r="B126">
        <v>4</v>
      </c>
      <c r="C126">
        <v>5</v>
      </c>
      <c r="D126">
        <v>9</v>
      </c>
      <c r="E126">
        <f t="shared" si="8"/>
        <v>-4</v>
      </c>
      <c r="F126">
        <f t="shared" si="9"/>
        <v>0</v>
      </c>
      <c r="G126">
        <v>1</v>
      </c>
      <c r="H126">
        <v>0</v>
      </c>
    </row>
    <row r="127" spans="1:8" x14ac:dyDescent="0.25">
      <c r="A127">
        <v>32</v>
      </c>
      <c r="B127">
        <v>1</v>
      </c>
      <c r="C127">
        <v>9</v>
      </c>
      <c r="D127">
        <v>2</v>
      </c>
      <c r="E127">
        <f t="shared" si="8"/>
        <v>7</v>
      </c>
      <c r="F127">
        <f t="shared" si="9"/>
        <v>1</v>
      </c>
      <c r="G127">
        <v>1</v>
      </c>
      <c r="H127">
        <v>1</v>
      </c>
    </row>
    <row r="128" spans="1:8" x14ac:dyDescent="0.25">
      <c r="A128">
        <v>32</v>
      </c>
      <c r="B128">
        <v>2</v>
      </c>
      <c r="C128">
        <v>9</v>
      </c>
      <c r="D128">
        <v>9</v>
      </c>
      <c r="E128">
        <f t="shared" si="8"/>
        <v>0</v>
      </c>
      <c r="H128">
        <v>0.5</v>
      </c>
    </row>
    <row r="129" spans="1:8" x14ac:dyDescent="0.25">
      <c r="A129">
        <v>32</v>
      </c>
      <c r="B129">
        <v>3</v>
      </c>
      <c r="C129">
        <v>7</v>
      </c>
      <c r="D129">
        <v>7</v>
      </c>
      <c r="E129">
        <f t="shared" si="8"/>
        <v>0</v>
      </c>
      <c r="H129">
        <v>0.5</v>
      </c>
    </row>
    <row r="130" spans="1:8" x14ac:dyDescent="0.25">
      <c r="A130">
        <v>32</v>
      </c>
      <c r="B130">
        <v>4</v>
      </c>
      <c r="C130">
        <v>6</v>
      </c>
      <c r="D130">
        <v>8</v>
      </c>
      <c r="E130">
        <f t="shared" si="8"/>
        <v>-2</v>
      </c>
      <c r="F130">
        <f>(1+(C130-D130)/ABS(C130-D130))/2</f>
        <v>0</v>
      </c>
      <c r="G130">
        <v>1</v>
      </c>
      <c r="H130">
        <v>0</v>
      </c>
    </row>
    <row r="131" spans="1:8" x14ac:dyDescent="0.25">
      <c r="A131" t="s">
        <v>33</v>
      </c>
      <c r="C131">
        <f>AVERAGE(C3:C130)</f>
        <v>8.0390625</v>
      </c>
      <c r="D131">
        <f>AVERAGE(D3:D130)</f>
        <v>7.57421875</v>
      </c>
      <c r="E131">
        <f>AVERAGE(E3:E130)</f>
        <v>0.46484375</v>
      </c>
      <c r="F131">
        <f>AVERAGE(F3:F130)</f>
        <v>0.48837209302325579</v>
      </c>
      <c r="H131">
        <f>AVERAGE(H3:H130)</f>
        <v>0.4921875</v>
      </c>
    </row>
    <row r="132" spans="1:8" x14ac:dyDescent="0.25">
      <c r="F132">
        <f>_xlfn.STDEV.S(F3:F130)</f>
        <v>0.50279655683484892</v>
      </c>
    </row>
    <row r="133" spans="1:8" x14ac:dyDescent="0.25">
      <c r="A133" t="s">
        <v>47</v>
      </c>
      <c r="C133">
        <f>SUM(C3:C130)</f>
        <v>1029</v>
      </c>
      <c r="D133">
        <f>SUM(D3:D130)</f>
        <v>969.5</v>
      </c>
      <c r="E133">
        <f>SUM(E3:E130)</f>
        <v>59.5</v>
      </c>
      <c r="F133">
        <f>SUM(F3:F130)</f>
        <v>42</v>
      </c>
      <c r="G133">
        <f>SUM(G3:G130)</f>
        <v>86</v>
      </c>
    </row>
  </sheetData>
  <mergeCells count="2">
    <mergeCell ref="J1:L1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Plenge1980</vt:lpstr>
      <vt:lpstr>Muraoka1981</vt:lpstr>
      <vt:lpstr>Oohashi1991</vt:lpstr>
      <vt:lpstr>Yoshikawa1995</vt:lpstr>
      <vt:lpstr>Theiss1997</vt:lpstr>
      <vt:lpstr>Nishiguchi2003</vt:lpstr>
      <vt:lpstr>hamasaki2004</vt:lpstr>
      <vt:lpstr>nishiguchi2005</vt:lpstr>
      <vt:lpstr>Repp2006</vt:lpstr>
      <vt:lpstr>Meyer2007</vt:lpstr>
      <vt:lpstr>Woszyck2007</vt:lpstr>
      <vt:lpstr>Pras2010</vt:lpstr>
      <vt:lpstr>King2012</vt:lpstr>
      <vt:lpstr>Jackson 2014</vt:lpstr>
      <vt:lpstr>Kanetada2015</vt:lpstr>
      <vt:lpstr>Capp 2016</vt:lpstr>
    </vt:vector>
  </TitlesOfParts>
  <Company>Queen Mary University of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Reiss</dc:creator>
  <cp:lastModifiedBy>Josh Reiss</cp:lastModifiedBy>
  <cp:lastPrinted>2015-06-29T17:39:58Z</cp:lastPrinted>
  <dcterms:created xsi:type="dcterms:W3CDTF">2015-06-29T14:02:38Z</dcterms:created>
  <dcterms:modified xsi:type="dcterms:W3CDTF">2016-02-23T13:40:56Z</dcterms:modified>
</cp:coreProperties>
</file>